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еню" sheetId="1" r:id="rId1"/>
    <sheet name="Накопительная" sheetId="8" r:id="rId2"/>
  </sheets>
  <calcPr calcId="144525"/>
</workbook>
</file>

<file path=xl/calcChain.xml><?xml version="1.0" encoding="utf-8"?>
<calcChain xmlns="http://schemas.openxmlformats.org/spreadsheetml/2006/main">
  <c r="M19" i="8" l="1"/>
  <c r="M7" i="8"/>
  <c r="M16" i="8"/>
  <c r="M12" i="8"/>
  <c r="M3" i="8"/>
  <c r="M21" i="8"/>
  <c r="M10" i="8"/>
  <c r="M5" i="8"/>
  <c r="L12" i="8"/>
  <c r="L17" i="8"/>
  <c r="L9" i="8"/>
  <c r="L7" i="8"/>
  <c r="L16" i="8"/>
  <c r="L3" i="8"/>
  <c r="L21" i="8"/>
  <c r="L18" i="8"/>
  <c r="K19" i="8"/>
  <c r="K9" i="8"/>
  <c r="K7" i="8"/>
  <c r="K3" i="8"/>
  <c r="K21" i="8"/>
  <c r="K17" i="8"/>
  <c r="K5" i="8"/>
  <c r="J19" i="8"/>
  <c r="J12" i="8"/>
  <c r="J14" i="8"/>
  <c r="J21" i="8"/>
  <c r="J16" i="8"/>
  <c r="J5" i="8"/>
  <c r="I21" i="8"/>
  <c r="I17" i="8"/>
  <c r="I9" i="8"/>
  <c r="I7" i="8"/>
  <c r="I19" i="8"/>
  <c r="I3" i="8"/>
  <c r="I12" i="8"/>
  <c r="I11" i="8"/>
  <c r="I16" i="8"/>
  <c r="I5" i="8"/>
  <c r="H16" i="8"/>
  <c r="H3" i="8"/>
  <c r="H19" i="8"/>
  <c r="H15" i="8"/>
  <c r="H5" i="8"/>
  <c r="H18" i="8"/>
  <c r="G21" i="8"/>
  <c r="G16" i="8"/>
  <c r="G17" i="8"/>
  <c r="G15" i="8"/>
  <c r="G14" i="8"/>
  <c r="G4" i="8"/>
  <c r="G11" i="8"/>
  <c r="G7" i="8"/>
  <c r="G12" i="8"/>
  <c r="G6" i="8"/>
  <c r="F19" i="8"/>
  <c r="F12" i="8"/>
  <c r="F21" i="8"/>
  <c r="F16" i="8"/>
  <c r="F9" i="8"/>
  <c r="F5" i="8"/>
  <c r="F14" i="8"/>
  <c r="E15" i="8"/>
  <c r="E16" i="8"/>
  <c r="E4" i="8"/>
  <c r="E21" i="8"/>
  <c r="E12" i="8"/>
  <c r="E3" i="8"/>
  <c r="E10" i="8"/>
  <c r="E5" i="8"/>
  <c r="D21" i="8"/>
  <c r="D17" i="8"/>
  <c r="D9" i="8"/>
  <c r="D7" i="8"/>
  <c r="D19" i="8"/>
  <c r="D12" i="8"/>
  <c r="D16" i="8"/>
  <c r="D3" i="8"/>
  <c r="D18" i="8"/>
  <c r="P99" i="1"/>
  <c r="O99" i="1"/>
  <c r="N99" i="1"/>
  <c r="P69" i="1"/>
  <c r="O69" i="1"/>
  <c r="N69" i="1"/>
  <c r="M69" i="1"/>
  <c r="L69" i="1"/>
  <c r="L74" i="1" s="1"/>
  <c r="K69" i="1"/>
  <c r="K74" i="1" s="1"/>
  <c r="J69" i="1"/>
  <c r="J74" i="1" s="1"/>
  <c r="I69" i="1"/>
  <c r="I74" i="1" s="1"/>
  <c r="H69" i="1"/>
  <c r="G69" i="1"/>
  <c r="G74" i="1" s="1"/>
  <c r="F69" i="1"/>
  <c r="F74" i="1" s="1"/>
  <c r="E69" i="1"/>
  <c r="E74" i="1" s="1"/>
  <c r="D69" i="1"/>
  <c r="Q63" i="1"/>
  <c r="O63" i="1"/>
  <c r="M63" i="1"/>
  <c r="K63" i="1"/>
  <c r="I63" i="1"/>
  <c r="G63" i="1"/>
  <c r="E63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P27" i="1"/>
  <c r="O27" i="1"/>
  <c r="O31" i="1" s="1"/>
  <c r="N27" i="1"/>
  <c r="M27" i="1"/>
  <c r="M31" i="1" s="1"/>
  <c r="L27" i="1"/>
  <c r="K27" i="1"/>
  <c r="K31" i="1" s="1"/>
  <c r="J27" i="1"/>
  <c r="I27" i="1"/>
  <c r="I31" i="1" s="1"/>
  <c r="H27" i="1"/>
  <c r="G27" i="1"/>
  <c r="G31" i="1" s="1"/>
  <c r="F27" i="1"/>
  <c r="E27" i="1"/>
  <c r="E31" i="1" s="1"/>
  <c r="D27" i="1"/>
  <c r="P20" i="1"/>
  <c r="N20" i="1"/>
  <c r="L20" i="1"/>
  <c r="J20" i="1"/>
  <c r="H20" i="1"/>
  <c r="F20" i="1"/>
  <c r="D20" i="1"/>
  <c r="K9" i="1"/>
  <c r="F9" i="1"/>
  <c r="D103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P91" i="1"/>
  <c r="H91" i="1"/>
  <c r="G91" i="1"/>
  <c r="F91" i="1"/>
  <c r="E91" i="1"/>
  <c r="E93" i="1" s="1"/>
  <c r="D91" i="1"/>
  <c r="D93" i="1" s="1"/>
  <c r="Q80" i="1"/>
  <c r="Q83" i="1" s="1"/>
  <c r="P80" i="1"/>
  <c r="P83" i="1" s="1"/>
  <c r="O80" i="1"/>
  <c r="O83" i="1" s="1"/>
  <c r="N80" i="1"/>
  <c r="N83" i="1" s="1"/>
  <c r="M80" i="1"/>
  <c r="M83" i="1" s="1"/>
  <c r="L80" i="1"/>
  <c r="K80" i="1"/>
  <c r="J80" i="1"/>
  <c r="I80" i="1"/>
  <c r="I83" i="1" s="1"/>
  <c r="H80" i="1"/>
  <c r="H83" i="1" s="1"/>
  <c r="G80" i="1"/>
  <c r="G83" i="1" s="1"/>
  <c r="F80" i="1"/>
  <c r="F83" i="1" s="1"/>
  <c r="E80" i="1"/>
  <c r="E83" i="1" s="1"/>
  <c r="D80" i="1"/>
  <c r="C9" i="1"/>
  <c r="C20" i="1"/>
  <c r="C31" i="1"/>
  <c r="C42" i="1"/>
  <c r="C53" i="1"/>
  <c r="C63" i="1"/>
  <c r="C74" i="1"/>
  <c r="C83" i="1"/>
  <c r="C93" i="1"/>
  <c r="C103" i="1"/>
  <c r="K103" i="1"/>
  <c r="L103" i="1"/>
  <c r="K93" i="1"/>
  <c r="L93" i="1"/>
  <c r="K83" i="1"/>
  <c r="L83" i="1"/>
  <c r="L63" i="1"/>
  <c r="K53" i="1"/>
  <c r="L53" i="1"/>
  <c r="K42" i="1"/>
  <c r="L42" i="1"/>
  <c r="L31" i="1"/>
  <c r="K20" i="1"/>
  <c r="L9" i="1"/>
  <c r="N8" i="8"/>
  <c r="E9" i="1"/>
  <c r="G9" i="1"/>
  <c r="H9" i="1"/>
  <c r="I9" i="1"/>
  <c r="J9" i="1"/>
  <c r="M9" i="1"/>
  <c r="N9" i="1"/>
  <c r="O9" i="1"/>
  <c r="P9" i="1"/>
  <c r="Q9" i="1"/>
  <c r="D9" i="1"/>
  <c r="E20" i="1"/>
  <c r="G20" i="1"/>
  <c r="I20" i="1"/>
  <c r="M20" i="1"/>
  <c r="O20" i="1"/>
  <c r="Q20" i="1"/>
  <c r="F31" i="1"/>
  <c r="H31" i="1"/>
  <c r="J31" i="1"/>
  <c r="N31" i="1"/>
  <c r="P31" i="1"/>
  <c r="Q31" i="1"/>
  <c r="D31" i="1"/>
  <c r="E42" i="1"/>
  <c r="F42" i="1"/>
  <c r="G42" i="1"/>
  <c r="H42" i="1"/>
  <c r="I42" i="1"/>
  <c r="J42" i="1"/>
  <c r="M42" i="1"/>
  <c r="N42" i="1"/>
  <c r="O42" i="1"/>
  <c r="P42" i="1"/>
  <c r="Q42" i="1"/>
  <c r="D42" i="1"/>
  <c r="E53" i="1"/>
  <c r="F53" i="1"/>
  <c r="G53" i="1"/>
  <c r="H53" i="1"/>
  <c r="I53" i="1"/>
  <c r="J53" i="1"/>
  <c r="M53" i="1"/>
  <c r="N53" i="1"/>
  <c r="O53" i="1"/>
  <c r="P53" i="1"/>
  <c r="Q53" i="1"/>
  <c r="D53" i="1"/>
  <c r="F63" i="1"/>
  <c r="H63" i="1"/>
  <c r="J63" i="1"/>
  <c r="N63" i="1"/>
  <c r="P63" i="1"/>
  <c r="D63" i="1"/>
  <c r="H74" i="1"/>
  <c r="M74" i="1"/>
  <c r="N74" i="1"/>
  <c r="O74" i="1"/>
  <c r="P74" i="1"/>
  <c r="Q74" i="1"/>
  <c r="D74" i="1"/>
  <c r="J83" i="1"/>
  <c r="D83" i="1"/>
  <c r="F93" i="1"/>
  <c r="G93" i="1"/>
  <c r="H93" i="1"/>
  <c r="I93" i="1"/>
  <c r="J93" i="1"/>
  <c r="M93" i="1"/>
  <c r="N93" i="1"/>
  <c r="O93" i="1"/>
  <c r="Q93" i="1"/>
  <c r="E103" i="1"/>
  <c r="F103" i="1"/>
  <c r="G103" i="1"/>
  <c r="H103" i="1"/>
  <c r="I103" i="1"/>
  <c r="J103" i="1"/>
  <c r="M103" i="1"/>
  <c r="O103" i="1"/>
  <c r="Q103" i="1"/>
  <c r="P103" i="1" l="1"/>
  <c r="P93" i="1"/>
  <c r="N103" i="1"/>
  <c r="N104" i="1" s="1"/>
  <c r="D104" i="1"/>
  <c r="J104" i="1"/>
  <c r="H104" i="1"/>
  <c r="F104" i="1"/>
  <c r="L104" i="1"/>
  <c r="Q104" i="1"/>
  <c r="O104" i="1"/>
  <c r="M104" i="1"/>
  <c r="I104" i="1"/>
  <c r="G104" i="1"/>
  <c r="E104" i="1"/>
  <c r="K104" i="1"/>
  <c r="C104" i="1"/>
  <c r="N4" i="8"/>
  <c r="N5" i="8"/>
  <c r="N6" i="8"/>
  <c r="N7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3" i="8"/>
  <c r="P104" i="1" l="1"/>
</calcChain>
</file>

<file path=xl/sharedStrings.xml><?xml version="1.0" encoding="utf-8"?>
<sst xmlns="http://schemas.openxmlformats.org/spreadsheetml/2006/main" count="356" uniqueCount="124">
  <si>
    <t>№ рецептуры</t>
  </si>
  <si>
    <t>Прием пищи. Наименование блюда</t>
  </si>
  <si>
    <t>Масса порции</t>
  </si>
  <si>
    <t>Пищевые ценности</t>
  </si>
  <si>
    <t>белки</t>
  </si>
  <si>
    <t>жиры</t>
  </si>
  <si>
    <t>углеводы</t>
  </si>
  <si>
    <t>Минеральные вещества (мг)</t>
  </si>
  <si>
    <t>Ca</t>
  </si>
  <si>
    <t>Mg</t>
  </si>
  <si>
    <t>P</t>
  </si>
  <si>
    <t>Fe</t>
  </si>
  <si>
    <t>B1</t>
  </si>
  <si>
    <t>B2</t>
  </si>
  <si>
    <t>PP</t>
  </si>
  <si>
    <t>C</t>
  </si>
  <si>
    <t>Энергетическая ценность (ккал)</t>
  </si>
  <si>
    <t>Завтрак</t>
  </si>
  <si>
    <t>Итого</t>
  </si>
  <si>
    <t>Витамины (мг)</t>
  </si>
  <si>
    <t>Хлеб пшеничный</t>
  </si>
  <si>
    <t>Какао с молоком</t>
  </si>
  <si>
    <t>Каша гречневая рассыпчатая</t>
  </si>
  <si>
    <t>Запеканка из творога</t>
  </si>
  <si>
    <t>Пр/пр</t>
  </si>
  <si>
    <t>№ п/п</t>
  </si>
  <si>
    <t>Наименование группы продуктов</t>
  </si>
  <si>
    <t>Норма продукта в граммах</t>
  </si>
  <si>
    <t>Фактически выдано продуктов в нетто по дням в качестве горячих завтраков (всего), г на одного человека</t>
  </si>
  <si>
    <t>В среднем за 10 дней</t>
  </si>
  <si>
    <t>Отклонение от нормы % (+/-)</t>
  </si>
  <si>
    <t>Мука пшеничная</t>
  </si>
  <si>
    <t>Картофель</t>
  </si>
  <si>
    <t>Фрукты (плоды) сухие</t>
  </si>
  <si>
    <t>Рыба филе</t>
  </si>
  <si>
    <t>Творог</t>
  </si>
  <si>
    <t>Сметана</t>
  </si>
  <si>
    <t>Масло сливочное</t>
  </si>
  <si>
    <t>Масло растительное</t>
  </si>
  <si>
    <t>Сахар</t>
  </si>
  <si>
    <t>Соль</t>
  </si>
  <si>
    <t>Крупы бобовые, макаронные изделия</t>
  </si>
  <si>
    <t>Овощи</t>
  </si>
  <si>
    <t>Мясо и мясные продукты</t>
  </si>
  <si>
    <t>Молоко пастеризов. (массовая доля жира 3,2%) и кисломолочные продукты</t>
  </si>
  <si>
    <t>Сыр</t>
  </si>
  <si>
    <t>Яйца</t>
  </si>
  <si>
    <t>Чай, какао, кофейный напиток</t>
  </si>
  <si>
    <t xml:space="preserve">День первый - понедельник </t>
  </si>
  <si>
    <t>День второй - вторник</t>
  </si>
  <si>
    <t>Хлеб в ассортименте</t>
  </si>
  <si>
    <t>Масло сливочное (порциями)</t>
  </si>
  <si>
    <t>Соус сметанный</t>
  </si>
  <si>
    <t>Чай чёрный байховый с сахаром</t>
  </si>
  <si>
    <t>День третий - среда</t>
  </si>
  <si>
    <t>Сыр твёрдых сортов в нарезке</t>
  </si>
  <si>
    <t>Каша вязкая молочная овсяная с изюмом</t>
  </si>
  <si>
    <t>День четвёртый - четверг</t>
  </si>
  <si>
    <t>Картофельное пюре</t>
  </si>
  <si>
    <t>Соус белый основной</t>
  </si>
  <si>
    <t>День пятый - пятница</t>
  </si>
  <si>
    <t>День шестой - понедельник</t>
  </si>
  <si>
    <t>Рис отварной</t>
  </si>
  <si>
    <t>День седьмой - вторник</t>
  </si>
  <si>
    <t>Каша вязкая молочная пшённая</t>
  </si>
  <si>
    <t>Кофейный напиток с молоком</t>
  </si>
  <si>
    <t>День восьмой - среда</t>
  </si>
  <si>
    <t>День девятый - четверг</t>
  </si>
  <si>
    <t>Омлет с морковью</t>
  </si>
  <si>
    <t>День десятый - пятница</t>
  </si>
  <si>
    <t>Макароны отварные</t>
  </si>
  <si>
    <t>Плов с курицей</t>
  </si>
  <si>
    <t>54-12м-2020</t>
  </si>
  <si>
    <t>54-1з-2020</t>
  </si>
  <si>
    <t>53-19з-2020</t>
  </si>
  <si>
    <t>54-6к-2020</t>
  </si>
  <si>
    <t>54-10к-2020</t>
  </si>
  <si>
    <t>54-1г-2020</t>
  </si>
  <si>
    <t>54-4г-2020</t>
  </si>
  <si>
    <t>54-6г-2020</t>
  </si>
  <si>
    <t>54-11г-2020</t>
  </si>
  <si>
    <t>54-3о-2020</t>
  </si>
  <si>
    <t>54-1т-2020</t>
  </si>
  <si>
    <t>54-2соус-2020</t>
  </si>
  <si>
    <t>54-1соус-2020</t>
  </si>
  <si>
    <t>54-1гн-2020</t>
  </si>
  <si>
    <t>Чай чёрный байховый без сахара</t>
  </si>
  <si>
    <t>54-2гн-2020</t>
  </si>
  <si>
    <t>54-3гн-2020</t>
  </si>
  <si>
    <t>Чай чёрный байховый с лимоном и сахаром</t>
  </si>
  <si>
    <t>54-6гн-2020</t>
  </si>
  <si>
    <t>Чай чёрный байховый с молоком и сахаром</t>
  </si>
  <si>
    <t>54-7гн-2020</t>
  </si>
  <si>
    <t>54-9гн-2020</t>
  </si>
  <si>
    <t>Фрукты (плоды) свежие</t>
  </si>
  <si>
    <t>+175</t>
  </si>
  <si>
    <t>54-4м-2020</t>
  </si>
  <si>
    <t>Котлета из фарша говядины</t>
  </si>
  <si>
    <t>-67,47</t>
  </si>
  <si>
    <t>+46</t>
  </si>
  <si>
    <t>I</t>
  </si>
  <si>
    <t>Se</t>
  </si>
  <si>
    <t>Средние показатели за период</t>
  </si>
  <si>
    <t>54-9р-2020</t>
  </si>
  <si>
    <t>Рыба, запеченная в сметанном соусе (минтай)</t>
  </si>
  <si>
    <t>54-7р-2020</t>
  </si>
  <si>
    <t>Рыба, припущенная в молоке (минтай)</t>
  </si>
  <si>
    <t>-56,19</t>
  </si>
  <si>
    <t>-84,71</t>
  </si>
  <si>
    <t>-51,64</t>
  </si>
  <si>
    <t>-86,64</t>
  </si>
  <si>
    <t>-47,87</t>
  </si>
  <si>
    <t>-59,83</t>
  </si>
  <si>
    <t>+555</t>
  </si>
  <si>
    <t>-76,65</t>
  </si>
  <si>
    <t>+7,88</t>
  </si>
  <si>
    <t>+132,5</t>
  </si>
  <si>
    <t>+34,33</t>
  </si>
  <si>
    <t>-15,03</t>
  </si>
  <si>
    <t>-64,53</t>
  </si>
  <si>
    <t>+116,08</t>
  </si>
  <si>
    <t>-66,19</t>
  </si>
  <si>
    <t>54-19к-2020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</si>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</sst>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1" fillId="0" borderId="0" xfId="0" applyFont="1"/>
    <xf numFmtId="0" fontId="3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/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left"/>
    </xf>
    <xf numFmtId="0" fontId="6" fillId="0" borderId="1" xfId="0" applyFont="1" applyFill="1" applyBorder="1" applyAlignment="1"/>
    <xf numFmtId="0" fontId="7" fillId="0" borderId="1" xfId="0" applyFont="1" applyBorder="1" applyAlignment="1"/>
    <xf numFmtId="2" fontId="7" fillId="0" borderId="1" xfId="0" applyNumberFormat="1" applyFont="1" applyBorder="1" applyAlignment="1"/>
    <xf numFmtId="49" fontId="7" fillId="0" borderId="1" xfId="0" applyNumberFormat="1" applyFont="1" applyBorder="1" applyAlignment="1">
      <alignment horizontal="left"/>
    </xf>
    <xf numFmtId="0" fontId="2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3" fillId="0" borderId="0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5" fillId="0" borderId="0" xfId="0" applyFont="1" applyAlignment="1">
      <alignment vertical="top"/>
    </xf>
    <xf numFmtId="0" fontId="3" fillId="0" borderId="3" xfId="0" applyFont="1" applyBorder="1" applyAlignment="1">
      <alignment vertical="top" wrapText="1"/>
    </xf>
    <xf numFmtId="0" fontId="0" fillId="0" borderId="4" xfId="0" applyBorder="1"/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tabSelected="1" topLeftCell="A94" workbookViewId="0">
      <selection activeCell="A96" sqref="A96:Q104"/>
    </sheetView>
  </sheetViews>
  <sheetFormatPr defaultRowHeight="15" x14ac:dyDescent="0.25"/>
  <cols>
    <col min="1" max="1" width="10.42578125" customWidth="1"/>
    <col min="2" max="2" width="20" customWidth="1"/>
    <col min="3" max="3" width="8" customWidth="1"/>
    <col min="4" max="4" width="9.140625" customWidth="1"/>
    <col min="5" max="5" width="8.140625" customWidth="1"/>
    <col min="6" max="6" width="9.28515625" customWidth="1"/>
    <col min="7" max="7" width="9.140625" customWidth="1"/>
    <col min="8" max="8" width="8" customWidth="1"/>
    <col min="9" max="9" width="9" customWidth="1"/>
    <col min="10" max="12" width="9.85546875" customWidth="1"/>
    <col min="13" max="13" width="8.7109375" customWidth="1"/>
    <col min="14" max="14" width="7.85546875" customWidth="1"/>
    <col min="15" max="15" width="9.140625" customWidth="1"/>
    <col min="16" max="16" width="6.85546875" customWidth="1"/>
    <col min="17" max="17" width="8.28515625" customWidth="1"/>
  </cols>
  <sheetData>
    <row r="1" spans="1:17" s="14" customFormat="1" ht="18.75" customHeight="1" x14ac:dyDescent="0.25">
      <c r="A1" s="39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15" customHeight="1" x14ac:dyDescent="0.25">
      <c r="A2" s="40" t="s">
        <v>0</v>
      </c>
      <c r="B2" s="40" t="s">
        <v>1</v>
      </c>
      <c r="C2" s="40" t="s">
        <v>2</v>
      </c>
      <c r="D2" s="43" t="s">
        <v>3</v>
      </c>
      <c r="E2" s="44"/>
      <c r="F2" s="45"/>
      <c r="G2" s="40" t="s">
        <v>16</v>
      </c>
      <c r="H2" s="43" t="s">
        <v>7</v>
      </c>
      <c r="I2" s="44"/>
      <c r="J2" s="44"/>
      <c r="K2" s="44"/>
      <c r="L2" s="44"/>
      <c r="M2" s="45"/>
      <c r="N2" s="43" t="s">
        <v>19</v>
      </c>
      <c r="O2" s="44"/>
      <c r="P2" s="44"/>
      <c r="Q2" s="45"/>
    </row>
    <row r="3" spans="1:17" ht="46.5" customHeight="1" x14ac:dyDescent="0.25">
      <c r="A3" s="41"/>
      <c r="B3" s="42"/>
      <c r="C3" s="42"/>
      <c r="D3" s="7" t="s">
        <v>4</v>
      </c>
      <c r="E3" s="8" t="s">
        <v>5</v>
      </c>
      <c r="F3" s="8" t="s">
        <v>6</v>
      </c>
      <c r="G3" s="42"/>
      <c r="H3" s="6" t="s">
        <v>8</v>
      </c>
      <c r="I3" s="6" t="s">
        <v>9</v>
      </c>
      <c r="J3" s="6" t="s">
        <v>10</v>
      </c>
      <c r="K3" s="33" t="s">
        <v>100</v>
      </c>
      <c r="L3" s="33" t="s">
        <v>101</v>
      </c>
      <c r="M3" s="6" t="s">
        <v>11</v>
      </c>
      <c r="N3" s="6" t="s">
        <v>12</v>
      </c>
      <c r="O3" s="6" t="s">
        <v>13</v>
      </c>
      <c r="P3" s="6" t="s">
        <v>14</v>
      </c>
      <c r="Q3" s="6" t="s">
        <v>15</v>
      </c>
    </row>
    <row r="4" spans="1:17" ht="18" customHeight="1" x14ac:dyDescent="0.25">
      <c r="A4" s="1"/>
      <c r="B4" s="36" t="s">
        <v>17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</row>
    <row r="5" spans="1:17" s="16" customFormat="1" ht="48" customHeight="1" x14ac:dyDescent="0.25">
      <c r="A5" s="17" t="s">
        <v>122</v>
      </c>
      <c r="B5" s="6" t="s">
        <v>123</v>
      </c>
      <c r="C5" s="15">
        <v>250</v>
      </c>
      <c r="D5" s="15">
        <v>6.58</v>
      </c>
      <c r="E5" s="15">
        <v>6.9</v>
      </c>
      <c r="F5" s="15">
        <v>23</v>
      </c>
      <c r="G5" s="15">
        <v>180.48</v>
      </c>
      <c r="H5" s="15">
        <v>209.5</v>
      </c>
      <c r="I5" s="15">
        <v>24.25</v>
      </c>
      <c r="J5" s="15">
        <v>154.25</v>
      </c>
      <c r="K5" s="15">
        <v>25.75</v>
      </c>
      <c r="L5" s="15">
        <v>3</v>
      </c>
      <c r="M5" s="15">
        <v>0.5</v>
      </c>
      <c r="N5" s="15">
        <v>6.3E-2</v>
      </c>
      <c r="O5" s="15">
        <v>0.19500000000000001</v>
      </c>
      <c r="P5" s="15">
        <v>0.32500000000000001</v>
      </c>
      <c r="Q5" s="15">
        <v>0.75</v>
      </c>
    </row>
    <row r="6" spans="1:17" s="16" customFormat="1" ht="15.75" customHeight="1" x14ac:dyDescent="0.25">
      <c r="A6" s="17" t="s">
        <v>24</v>
      </c>
      <c r="B6" s="6" t="s">
        <v>50</v>
      </c>
      <c r="C6" s="15">
        <v>30</v>
      </c>
      <c r="D6" s="15">
        <v>2.2799999999999998</v>
      </c>
      <c r="E6" s="15">
        <v>0.24</v>
      </c>
      <c r="F6" s="15">
        <v>14.76</v>
      </c>
      <c r="G6" s="15">
        <v>57.9</v>
      </c>
      <c r="H6" s="15">
        <v>5.7</v>
      </c>
      <c r="I6" s="15">
        <v>3.9</v>
      </c>
      <c r="J6" s="15">
        <v>19.5</v>
      </c>
      <c r="K6" s="15">
        <v>0</v>
      </c>
      <c r="L6" s="15">
        <v>0</v>
      </c>
      <c r="M6" s="15">
        <v>0.36</v>
      </c>
      <c r="N6" s="15">
        <v>3.3000000000000002E-2</v>
      </c>
      <c r="O6" s="15">
        <v>8.9999999999999993E-3</v>
      </c>
      <c r="P6" s="15">
        <v>0.27</v>
      </c>
      <c r="Q6" s="15">
        <v>0</v>
      </c>
    </row>
    <row r="7" spans="1:17" s="16" customFormat="1" ht="30" customHeight="1" x14ac:dyDescent="0.25">
      <c r="A7" s="17" t="s">
        <v>74</v>
      </c>
      <c r="B7" s="5" t="s">
        <v>51</v>
      </c>
      <c r="C7" s="15">
        <v>10</v>
      </c>
      <c r="D7" s="15">
        <v>0.1</v>
      </c>
      <c r="E7" s="15">
        <v>8.3000000000000007</v>
      </c>
      <c r="F7" s="15">
        <v>0.1</v>
      </c>
      <c r="G7" s="15">
        <v>74.900000000000006</v>
      </c>
      <c r="H7" s="15">
        <v>2</v>
      </c>
      <c r="I7" s="15">
        <v>0</v>
      </c>
      <c r="J7" s="15">
        <v>2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0.01</v>
      </c>
      <c r="Q7" s="15">
        <v>0</v>
      </c>
    </row>
    <row r="8" spans="1:17" ht="33" customHeight="1" x14ac:dyDescent="0.25">
      <c r="A8" s="3" t="s">
        <v>93</v>
      </c>
      <c r="B8" s="5" t="s">
        <v>65</v>
      </c>
      <c r="C8" s="9">
        <v>200</v>
      </c>
      <c r="D8" s="9">
        <v>3.8</v>
      </c>
      <c r="E8" s="9">
        <v>3.5</v>
      </c>
      <c r="F8" s="9">
        <v>11.1</v>
      </c>
      <c r="G8" s="9">
        <v>90.8</v>
      </c>
      <c r="H8" s="9">
        <v>112</v>
      </c>
      <c r="I8" s="9">
        <v>30</v>
      </c>
      <c r="J8" s="9">
        <v>107</v>
      </c>
      <c r="K8" s="9">
        <v>9</v>
      </c>
      <c r="L8" s="9">
        <v>1.8</v>
      </c>
      <c r="M8" s="9">
        <v>1</v>
      </c>
      <c r="N8" s="9">
        <v>0.02</v>
      </c>
      <c r="O8" s="9">
        <v>0.11</v>
      </c>
      <c r="P8" s="9">
        <v>0.2</v>
      </c>
      <c r="Q8" s="9">
        <v>0</v>
      </c>
    </row>
    <row r="9" spans="1:17" s="16" customFormat="1" ht="15.75" x14ac:dyDescent="0.25">
      <c r="A9" s="18"/>
      <c r="B9" s="19" t="s">
        <v>18</v>
      </c>
      <c r="C9" s="15">
        <f>SUM(C5:C8)</f>
        <v>490</v>
      </c>
      <c r="D9" s="15">
        <f>SUM(D5:D8)</f>
        <v>12.759999999999998</v>
      </c>
      <c r="E9" s="15">
        <f>SUM(E5:E8)</f>
        <v>18.940000000000001</v>
      </c>
      <c r="F9" s="15">
        <f>SUM(F5:F8)</f>
        <v>48.96</v>
      </c>
      <c r="G9" s="15">
        <f>SUM(G5:G8)</f>
        <v>404.08</v>
      </c>
      <c r="H9" s="15">
        <f>SUM(H5:H8)</f>
        <v>329.2</v>
      </c>
      <c r="I9" s="15">
        <f>SUM(I5:I8)</f>
        <v>58.15</v>
      </c>
      <c r="J9" s="15">
        <f>SUM(J5:J8)</f>
        <v>282.75</v>
      </c>
      <c r="K9" s="15">
        <f>SUM(K5:K8)</f>
        <v>34.75</v>
      </c>
      <c r="L9" s="15">
        <f>SUM(L5:L8)</f>
        <v>4.8</v>
      </c>
      <c r="M9" s="15">
        <f>SUM(M5:M8)</f>
        <v>1.8599999999999999</v>
      </c>
      <c r="N9" s="15">
        <f>SUM(N5:N8)</f>
        <v>0.11600000000000001</v>
      </c>
      <c r="O9" s="15">
        <f>SUM(O5:O8)</f>
        <v>0.314</v>
      </c>
      <c r="P9" s="15">
        <f>SUM(P5:P8)</f>
        <v>0.80499999999999994</v>
      </c>
      <c r="Q9" s="15">
        <f>SUM(Q5:Q8)</f>
        <v>0.75</v>
      </c>
    </row>
    <row r="10" spans="1:17" s="16" customFormat="1" ht="15.75" x14ac:dyDescent="0.25">
      <c r="A10" s="29"/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s="14" customFormat="1" ht="15.75" x14ac:dyDescent="0.25">
      <c r="A11" s="39" t="s">
        <v>49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7" x14ac:dyDescent="0.25">
      <c r="A12" s="40" t="s">
        <v>0</v>
      </c>
      <c r="B12" s="40" t="s">
        <v>1</v>
      </c>
      <c r="C12" s="40" t="s">
        <v>2</v>
      </c>
      <c r="D12" s="43" t="s">
        <v>3</v>
      </c>
      <c r="E12" s="44"/>
      <c r="F12" s="45"/>
      <c r="G12" s="40" t="s">
        <v>16</v>
      </c>
      <c r="H12" s="43" t="s">
        <v>7</v>
      </c>
      <c r="I12" s="44"/>
      <c r="J12" s="44"/>
      <c r="K12" s="44"/>
      <c r="L12" s="44"/>
      <c r="M12" s="45"/>
      <c r="N12" s="43" t="s">
        <v>19</v>
      </c>
      <c r="O12" s="44"/>
      <c r="P12" s="44"/>
      <c r="Q12" s="45"/>
    </row>
    <row r="13" spans="1:17" ht="45.75" customHeight="1" x14ac:dyDescent="0.25">
      <c r="A13" s="42"/>
      <c r="B13" s="42"/>
      <c r="C13" s="42"/>
      <c r="D13" s="7" t="s">
        <v>4</v>
      </c>
      <c r="E13" s="8" t="s">
        <v>5</v>
      </c>
      <c r="F13" s="8" t="s">
        <v>6</v>
      </c>
      <c r="G13" s="42"/>
      <c r="H13" s="6" t="s">
        <v>8</v>
      </c>
      <c r="I13" s="6" t="s">
        <v>9</v>
      </c>
      <c r="J13" s="6" t="s">
        <v>10</v>
      </c>
      <c r="K13" s="33" t="s">
        <v>100</v>
      </c>
      <c r="L13" s="33" t="s">
        <v>101</v>
      </c>
      <c r="M13" s="6" t="s">
        <v>11</v>
      </c>
      <c r="N13" s="6" t="s">
        <v>12</v>
      </c>
      <c r="O13" s="6" t="s">
        <v>13</v>
      </c>
      <c r="P13" s="6" t="s">
        <v>14</v>
      </c>
      <c r="Q13" s="6" t="s">
        <v>15</v>
      </c>
    </row>
    <row r="14" spans="1:17" ht="15.75" x14ac:dyDescent="0.25">
      <c r="A14" s="1"/>
      <c r="B14" s="36" t="s">
        <v>17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8"/>
    </row>
    <row r="15" spans="1:17" ht="31.5" x14ac:dyDescent="0.25">
      <c r="A15" s="3" t="s">
        <v>78</v>
      </c>
      <c r="B15" s="4" t="s">
        <v>22</v>
      </c>
      <c r="C15" s="21">
        <v>200</v>
      </c>
      <c r="D15" s="21">
        <v>8.1999999999999993</v>
      </c>
      <c r="E15" s="21">
        <v>6.5</v>
      </c>
      <c r="F15" s="21">
        <v>42.8</v>
      </c>
      <c r="G15" s="21">
        <v>262.5</v>
      </c>
      <c r="H15" s="21">
        <v>46</v>
      </c>
      <c r="I15" s="21">
        <v>59</v>
      </c>
      <c r="J15" s="21">
        <v>180</v>
      </c>
      <c r="K15" s="21">
        <v>20</v>
      </c>
      <c r="L15" s="21">
        <v>3.6</v>
      </c>
      <c r="M15" s="21">
        <v>5</v>
      </c>
      <c r="N15" s="21">
        <v>0.3</v>
      </c>
      <c r="O15" s="21">
        <v>0.1</v>
      </c>
      <c r="P15" s="21">
        <v>2.2999999999999998</v>
      </c>
      <c r="Q15" s="21">
        <v>0</v>
      </c>
    </row>
    <row r="16" spans="1:17" ht="33.75" customHeight="1" x14ac:dyDescent="0.25">
      <c r="A16" s="17" t="s">
        <v>96</v>
      </c>
      <c r="B16" s="6" t="s">
        <v>97</v>
      </c>
      <c r="C16" s="10">
        <v>75</v>
      </c>
      <c r="D16" s="9">
        <v>14.1</v>
      </c>
      <c r="E16" s="9">
        <v>11.9</v>
      </c>
      <c r="F16" s="9">
        <v>11.4</v>
      </c>
      <c r="G16" s="9">
        <v>209</v>
      </c>
      <c r="H16" s="9">
        <v>43</v>
      </c>
      <c r="I16" s="9">
        <v>25</v>
      </c>
      <c r="J16" s="9">
        <v>165</v>
      </c>
      <c r="K16" s="9">
        <v>14.2</v>
      </c>
      <c r="L16" s="9">
        <v>2.1</v>
      </c>
      <c r="M16" s="9">
        <v>1</v>
      </c>
      <c r="N16" s="9">
        <v>0.11</v>
      </c>
      <c r="O16" s="9">
        <v>0.14000000000000001</v>
      </c>
      <c r="P16" s="9">
        <v>2.2000000000000002</v>
      </c>
      <c r="Q16" s="9">
        <v>0</v>
      </c>
    </row>
    <row r="17" spans="1:17" s="16" customFormat="1" ht="32.25" customHeight="1" x14ac:dyDescent="0.25">
      <c r="A17" s="17" t="s">
        <v>84</v>
      </c>
      <c r="B17" s="6" t="s">
        <v>52</v>
      </c>
      <c r="C17" s="15">
        <v>50</v>
      </c>
      <c r="D17" s="15">
        <v>0.75</v>
      </c>
      <c r="E17" s="15">
        <v>4.2</v>
      </c>
      <c r="F17" s="15">
        <v>1.7</v>
      </c>
      <c r="G17" s="15">
        <v>47.6</v>
      </c>
      <c r="H17" s="15">
        <v>19.5</v>
      </c>
      <c r="I17" s="15">
        <v>2</v>
      </c>
      <c r="J17" s="15">
        <v>14</v>
      </c>
      <c r="K17" s="15">
        <v>0.6</v>
      </c>
      <c r="L17" s="15">
        <v>0.15</v>
      </c>
      <c r="M17" s="15">
        <v>0</v>
      </c>
      <c r="N17" s="15">
        <v>5.0000000000000001E-3</v>
      </c>
      <c r="O17" s="15">
        <v>0.02</v>
      </c>
      <c r="P17" s="15">
        <v>0.15</v>
      </c>
      <c r="Q17" s="15">
        <v>0</v>
      </c>
    </row>
    <row r="18" spans="1:17" ht="33" customHeight="1" x14ac:dyDescent="0.25">
      <c r="A18" s="3" t="s">
        <v>87</v>
      </c>
      <c r="B18" s="5" t="s">
        <v>53</v>
      </c>
      <c r="C18" s="9">
        <v>200</v>
      </c>
      <c r="D18" s="9">
        <v>0.2</v>
      </c>
      <c r="E18" s="9">
        <v>0</v>
      </c>
      <c r="F18" s="9">
        <v>6.4</v>
      </c>
      <c r="G18" s="9">
        <v>26.4</v>
      </c>
      <c r="H18" s="9">
        <v>4</v>
      </c>
      <c r="I18" s="9">
        <v>4</v>
      </c>
      <c r="J18" s="9">
        <v>7</v>
      </c>
      <c r="K18" s="9">
        <v>0</v>
      </c>
      <c r="L18" s="9">
        <v>0</v>
      </c>
      <c r="M18" s="9">
        <v>1</v>
      </c>
      <c r="N18" s="9">
        <v>0</v>
      </c>
      <c r="O18" s="9">
        <v>0</v>
      </c>
      <c r="P18" s="9">
        <v>0.1</v>
      </c>
      <c r="Q18" s="9">
        <v>0</v>
      </c>
    </row>
    <row r="19" spans="1:17" s="16" customFormat="1" ht="15.75" customHeight="1" x14ac:dyDescent="0.25">
      <c r="A19" s="17" t="s">
        <v>24</v>
      </c>
      <c r="B19" s="6" t="s">
        <v>50</v>
      </c>
      <c r="C19" s="15">
        <v>30</v>
      </c>
      <c r="D19" s="15">
        <v>2.2799999999999998</v>
      </c>
      <c r="E19" s="15">
        <v>0.24</v>
      </c>
      <c r="F19" s="15">
        <v>14.76</v>
      </c>
      <c r="G19" s="15">
        <v>57.9</v>
      </c>
      <c r="H19" s="15">
        <v>5.7</v>
      </c>
      <c r="I19" s="15">
        <v>3.9</v>
      </c>
      <c r="J19" s="15">
        <v>19.5</v>
      </c>
      <c r="K19" s="15">
        <v>0</v>
      </c>
      <c r="L19" s="15">
        <v>0</v>
      </c>
      <c r="M19" s="15">
        <v>0.36</v>
      </c>
      <c r="N19" s="15">
        <v>3.3000000000000002E-2</v>
      </c>
      <c r="O19" s="15">
        <v>8.9999999999999993E-3</v>
      </c>
      <c r="P19" s="15">
        <v>0.27</v>
      </c>
      <c r="Q19" s="15">
        <v>0</v>
      </c>
    </row>
    <row r="20" spans="1:17" ht="15.75" x14ac:dyDescent="0.25">
      <c r="A20" s="2"/>
      <c r="B20" s="11" t="s">
        <v>18</v>
      </c>
      <c r="C20" s="9">
        <f t="shared" ref="C20:Q20" si="0">SUM(C15:C19)</f>
        <v>555</v>
      </c>
      <c r="D20" s="9">
        <f t="shared" si="0"/>
        <v>25.529999999999998</v>
      </c>
      <c r="E20" s="9">
        <f t="shared" si="0"/>
        <v>22.839999999999996</v>
      </c>
      <c r="F20" s="9">
        <f t="shared" si="0"/>
        <v>77.06</v>
      </c>
      <c r="G20" s="9">
        <f t="shared" si="0"/>
        <v>603.4</v>
      </c>
      <c r="H20" s="9">
        <f t="shared" si="0"/>
        <v>118.2</v>
      </c>
      <c r="I20" s="9">
        <f t="shared" si="0"/>
        <v>93.9</v>
      </c>
      <c r="J20" s="9">
        <f t="shared" si="0"/>
        <v>385.5</v>
      </c>
      <c r="K20" s="9">
        <f t="shared" si="0"/>
        <v>34.800000000000004</v>
      </c>
      <c r="L20" s="9">
        <f t="shared" si="0"/>
        <v>5.8500000000000005</v>
      </c>
      <c r="M20" s="9">
        <f t="shared" si="0"/>
        <v>7.36</v>
      </c>
      <c r="N20" s="9">
        <f t="shared" si="0"/>
        <v>0.44799999999999995</v>
      </c>
      <c r="O20" s="9">
        <f t="shared" si="0"/>
        <v>0.26900000000000002</v>
      </c>
      <c r="P20" s="9">
        <f t="shared" si="0"/>
        <v>5.0199999999999996</v>
      </c>
      <c r="Q20" s="9">
        <f t="shared" si="0"/>
        <v>0</v>
      </c>
    </row>
    <row r="21" spans="1:17" ht="15.75" x14ac:dyDescent="0.25">
      <c r="A21" s="13"/>
      <c r="B21" s="35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s="14" customFormat="1" ht="15.75" x14ac:dyDescent="0.25">
      <c r="A22" s="39" t="s">
        <v>54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17" x14ac:dyDescent="0.25">
      <c r="A23" s="40" t="s">
        <v>0</v>
      </c>
      <c r="B23" s="40" t="s">
        <v>1</v>
      </c>
      <c r="C23" s="40" t="s">
        <v>2</v>
      </c>
      <c r="D23" s="43" t="s">
        <v>3</v>
      </c>
      <c r="E23" s="44"/>
      <c r="F23" s="45"/>
      <c r="G23" s="40" t="s">
        <v>16</v>
      </c>
      <c r="H23" s="43" t="s">
        <v>7</v>
      </c>
      <c r="I23" s="44"/>
      <c r="J23" s="44"/>
      <c r="K23" s="44"/>
      <c r="L23" s="44"/>
      <c r="M23" s="45"/>
      <c r="N23" s="43" t="s">
        <v>19</v>
      </c>
      <c r="O23" s="44"/>
      <c r="P23" s="44"/>
      <c r="Q23" s="45"/>
    </row>
    <row r="24" spans="1:17" ht="45.75" customHeight="1" x14ac:dyDescent="0.25">
      <c r="A24" s="42"/>
      <c r="B24" s="42"/>
      <c r="C24" s="42"/>
      <c r="D24" s="7" t="s">
        <v>4</v>
      </c>
      <c r="E24" s="8" t="s">
        <v>5</v>
      </c>
      <c r="F24" s="8" t="s">
        <v>6</v>
      </c>
      <c r="G24" s="42"/>
      <c r="H24" s="6" t="s">
        <v>8</v>
      </c>
      <c r="I24" s="6" t="s">
        <v>9</v>
      </c>
      <c r="J24" s="6" t="s">
        <v>10</v>
      </c>
      <c r="K24" s="33" t="s">
        <v>100</v>
      </c>
      <c r="L24" s="33" t="s">
        <v>101</v>
      </c>
      <c r="M24" s="6" t="s">
        <v>11</v>
      </c>
      <c r="N24" s="6" t="s">
        <v>12</v>
      </c>
      <c r="O24" s="6" t="s">
        <v>13</v>
      </c>
      <c r="P24" s="6" t="s">
        <v>14</v>
      </c>
      <c r="Q24" s="6" t="s">
        <v>15</v>
      </c>
    </row>
    <row r="25" spans="1:17" ht="15.75" x14ac:dyDescent="0.25">
      <c r="A25" s="1"/>
      <c r="B25" s="36" t="s">
        <v>17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8"/>
    </row>
    <row r="26" spans="1:17" ht="31.5" x14ac:dyDescent="0.25">
      <c r="A26" s="3" t="s">
        <v>73</v>
      </c>
      <c r="B26" s="4" t="s">
        <v>55</v>
      </c>
      <c r="C26" s="21">
        <v>30</v>
      </c>
      <c r="D26" s="21">
        <v>7.02</v>
      </c>
      <c r="E26" s="21">
        <v>9</v>
      </c>
      <c r="F26" s="21">
        <v>0</v>
      </c>
      <c r="G26" s="21">
        <v>109.1</v>
      </c>
      <c r="H26" s="21">
        <v>300</v>
      </c>
      <c r="I26" s="21">
        <v>14</v>
      </c>
      <c r="J26" s="21">
        <v>163</v>
      </c>
      <c r="K26" s="21">
        <v>0</v>
      </c>
      <c r="L26" s="21">
        <v>0</v>
      </c>
      <c r="M26" s="21">
        <v>0</v>
      </c>
      <c r="N26" s="21">
        <v>0.01</v>
      </c>
      <c r="O26" s="21">
        <v>0.09</v>
      </c>
      <c r="P26" s="21">
        <v>0.09</v>
      </c>
      <c r="Q26" s="21">
        <v>0</v>
      </c>
    </row>
    <row r="27" spans="1:17" ht="43.5" customHeight="1" x14ac:dyDescent="0.25">
      <c r="A27" s="17" t="s">
        <v>76</v>
      </c>
      <c r="B27" s="6" t="s">
        <v>56</v>
      </c>
      <c r="C27" s="9">
        <v>215</v>
      </c>
      <c r="D27" s="9">
        <f>8.5*215/210</f>
        <v>8.7023809523809526</v>
      </c>
      <c r="E27" s="9">
        <f>12.6*215/210</f>
        <v>12.9</v>
      </c>
      <c r="F27" s="9">
        <f>43.3*215/210</f>
        <v>44.330952380952382</v>
      </c>
      <c r="G27" s="9">
        <f>320.7*215/210</f>
        <v>328.33571428571429</v>
      </c>
      <c r="H27" s="9">
        <f>147*215/210</f>
        <v>150.5</v>
      </c>
      <c r="I27" s="9">
        <f>67*215/210</f>
        <v>68.595238095238102</v>
      </c>
      <c r="J27" s="9">
        <f>249*215/210</f>
        <v>254.92857142857142</v>
      </c>
      <c r="K27" s="9">
        <f>49*215/210</f>
        <v>50.166666666666664</v>
      </c>
      <c r="L27" s="9">
        <f>15*215/210</f>
        <v>15.357142857142858</v>
      </c>
      <c r="M27" s="9">
        <f>2*215/210</f>
        <v>2.0476190476190474</v>
      </c>
      <c r="N27" s="9">
        <f>0.21*215/210</f>
        <v>0.215</v>
      </c>
      <c r="O27" s="9">
        <f>0.15*215/210</f>
        <v>0.15357142857142858</v>
      </c>
      <c r="P27" s="9">
        <f>0.6*215/210</f>
        <v>0.61428571428571432</v>
      </c>
      <c r="Q27" s="9">
        <v>0</v>
      </c>
    </row>
    <row r="28" spans="1:17" s="16" customFormat="1" ht="45.75" customHeight="1" x14ac:dyDescent="0.25">
      <c r="A28" s="17" t="s">
        <v>90</v>
      </c>
      <c r="B28" s="6" t="s">
        <v>91</v>
      </c>
      <c r="C28" s="15">
        <v>200</v>
      </c>
      <c r="D28" s="15">
        <v>1.5</v>
      </c>
      <c r="E28" s="15">
        <v>1.4</v>
      </c>
      <c r="F28" s="15">
        <v>8.6</v>
      </c>
      <c r="G28" s="15">
        <v>52.9</v>
      </c>
      <c r="H28" s="15">
        <v>57</v>
      </c>
      <c r="I28" s="15">
        <v>10</v>
      </c>
      <c r="J28" s="15">
        <v>47</v>
      </c>
      <c r="K28" s="15">
        <v>4.5</v>
      </c>
      <c r="L28" s="15">
        <v>0.9</v>
      </c>
      <c r="M28" s="15">
        <v>1</v>
      </c>
      <c r="N28" s="15">
        <v>0</v>
      </c>
      <c r="O28" s="15">
        <v>0.06</v>
      </c>
      <c r="P28" s="15">
        <v>0.1</v>
      </c>
      <c r="Q28" s="15">
        <v>0</v>
      </c>
    </row>
    <row r="29" spans="1:17" s="16" customFormat="1" ht="15.75" customHeight="1" x14ac:dyDescent="0.25">
      <c r="A29" s="17" t="s">
        <v>24</v>
      </c>
      <c r="B29" s="6" t="s">
        <v>50</v>
      </c>
      <c r="C29" s="15">
        <v>30</v>
      </c>
      <c r="D29" s="15">
        <v>2.2799999999999998</v>
      </c>
      <c r="E29" s="15">
        <v>0.24</v>
      </c>
      <c r="F29" s="15">
        <v>14.76</v>
      </c>
      <c r="G29" s="15">
        <v>57.9</v>
      </c>
      <c r="H29" s="15">
        <v>5.7</v>
      </c>
      <c r="I29" s="15">
        <v>3.9</v>
      </c>
      <c r="J29" s="15">
        <v>19.5</v>
      </c>
      <c r="K29" s="15">
        <v>0</v>
      </c>
      <c r="L29" s="15">
        <v>0</v>
      </c>
      <c r="M29" s="15">
        <v>0.36</v>
      </c>
      <c r="N29" s="15">
        <v>3.3000000000000002E-2</v>
      </c>
      <c r="O29" s="15">
        <v>8.9999999999999993E-3</v>
      </c>
      <c r="P29" s="15">
        <v>0.27</v>
      </c>
      <c r="Q29" s="15">
        <v>0</v>
      </c>
    </row>
    <row r="30" spans="1:17" ht="16.5" customHeight="1" x14ac:dyDescent="0.25">
      <c r="A30" s="3"/>
      <c r="B30" s="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ht="15.75" x14ac:dyDescent="0.25">
      <c r="A31" s="2"/>
      <c r="B31" s="11" t="s">
        <v>18</v>
      </c>
      <c r="C31" s="9">
        <f t="shared" ref="C31:Q31" si="1">SUM(C26:C30)</f>
        <v>475</v>
      </c>
      <c r="D31" s="9">
        <f t="shared" si="1"/>
        <v>19.502380952380953</v>
      </c>
      <c r="E31" s="9">
        <f t="shared" si="1"/>
        <v>23.539999999999996</v>
      </c>
      <c r="F31" s="9">
        <f t="shared" si="1"/>
        <v>67.690952380952382</v>
      </c>
      <c r="G31" s="9">
        <f t="shared" si="1"/>
        <v>548.23571428571427</v>
      </c>
      <c r="H31" s="9">
        <f t="shared" si="1"/>
        <v>513.20000000000005</v>
      </c>
      <c r="I31" s="9">
        <f t="shared" si="1"/>
        <v>96.495238095238108</v>
      </c>
      <c r="J31" s="9">
        <f t="shared" si="1"/>
        <v>484.42857142857144</v>
      </c>
      <c r="K31" s="9">
        <f t="shared" si="1"/>
        <v>54.666666666666664</v>
      </c>
      <c r="L31" s="9">
        <f t="shared" si="1"/>
        <v>16.257142857142856</v>
      </c>
      <c r="M31" s="9">
        <f t="shared" si="1"/>
        <v>3.4076190476190473</v>
      </c>
      <c r="N31" s="9">
        <f t="shared" si="1"/>
        <v>0.25800000000000001</v>
      </c>
      <c r="O31" s="9">
        <f t="shared" si="1"/>
        <v>0.31257142857142861</v>
      </c>
      <c r="P31" s="9">
        <f t="shared" si="1"/>
        <v>1.0742857142857143</v>
      </c>
      <c r="Q31" s="9">
        <f t="shared" si="1"/>
        <v>0</v>
      </c>
    </row>
    <row r="33" spans="1:17" s="14" customFormat="1" ht="15.75" x14ac:dyDescent="0.25">
      <c r="A33" s="39" t="s">
        <v>57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25">
      <c r="A34" s="40" t="s">
        <v>0</v>
      </c>
      <c r="B34" s="40" t="s">
        <v>1</v>
      </c>
      <c r="C34" s="40" t="s">
        <v>2</v>
      </c>
      <c r="D34" s="43" t="s">
        <v>3</v>
      </c>
      <c r="E34" s="44"/>
      <c r="F34" s="45"/>
      <c r="G34" s="40" t="s">
        <v>16</v>
      </c>
      <c r="H34" s="43" t="s">
        <v>7</v>
      </c>
      <c r="I34" s="44"/>
      <c r="J34" s="44"/>
      <c r="K34" s="44"/>
      <c r="L34" s="44"/>
      <c r="M34" s="45"/>
      <c r="N34" s="43" t="s">
        <v>19</v>
      </c>
      <c r="O34" s="44"/>
      <c r="P34" s="44"/>
      <c r="Q34" s="45"/>
    </row>
    <row r="35" spans="1:17" ht="45.75" customHeight="1" x14ac:dyDescent="0.25">
      <c r="A35" s="42"/>
      <c r="B35" s="42"/>
      <c r="C35" s="42"/>
      <c r="D35" s="7" t="s">
        <v>4</v>
      </c>
      <c r="E35" s="8" t="s">
        <v>5</v>
      </c>
      <c r="F35" s="8" t="s">
        <v>6</v>
      </c>
      <c r="G35" s="42"/>
      <c r="H35" s="6" t="s">
        <v>8</v>
      </c>
      <c r="I35" s="6" t="s">
        <v>9</v>
      </c>
      <c r="J35" s="6" t="s">
        <v>10</v>
      </c>
      <c r="K35" s="33" t="s">
        <v>100</v>
      </c>
      <c r="L35" s="33" t="s">
        <v>101</v>
      </c>
      <c r="M35" s="6" t="s">
        <v>11</v>
      </c>
      <c r="N35" s="6" t="s">
        <v>12</v>
      </c>
      <c r="O35" s="6" t="s">
        <v>13</v>
      </c>
      <c r="P35" s="6" t="s">
        <v>14</v>
      </c>
      <c r="Q35" s="6" t="s">
        <v>15</v>
      </c>
    </row>
    <row r="36" spans="1:17" ht="15.75" x14ac:dyDescent="0.25">
      <c r="A36" s="1"/>
      <c r="B36" s="36" t="s">
        <v>17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8"/>
    </row>
    <row r="37" spans="1:17" ht="31.5" x14ac:dyDescent="0.25">
      <c r="A37" s="3" t="s">
        <v>80</v>
      </c>
      <c r="B37" s="4" t="s">
        <v>58</v>
      </c>
      <c r="C37" s="21">
        <v>200</v>
      </c>
      <c r="D37" s="21">
        <f>3*200/150</f>
        <v>4</v>
      </c>
      <c r="E37" s="21">
        <f>5.7*200/150</f>
        <v>7.6</v>
      </c>
      <c r="F37" s="21">
        <f>23.7*200/150</f>
        <v>31.6</v>
      </c>
      <c r="G37" s="21">
        <f>158.3*200/150</f>
        <v>211.06666666666669</v>
      </c>
      <c r="H37" s="21">
        <f>40*200/150</f>
        <v>53.333333333333336</v>
      </c>
      <c r="I37" s="21">
        <f>28*200/150</f>
        <v>37.333333333333336</v>
      </c>
      <c r="J37" s="21">
        <f>84*200/150</f>
        <v>112</v>
      </c>
      <c r="K37" s="21">
        <f>28.5*200/150</f>
        <v>38</v>
      </c>
      <c r="L37" s="21">
        <f>0.8*200/150</f>
        <v>1.0666666666666667</v>
      </c>
      <c r="M37" s="21">
        <f>1*200/150</f>
        <v>1.3333333333333333</v>
      </c>
      <c r="N37" s="21">
        <f>0.12*200/150</f>
        <v>0.16</v>
      </c>
      <c r="O37" s="21">
        <f>0.07*200/150</f>
        <v>9.3333333333333351E-2</v>
      </c>
      <c r="P37" s="21">
        <f>0.9*200/150</f>
        <v>1.2</v>
      </c>
      <c r="Q37" s="21">
        <f>10*200/150</f>
        <v>13.333333333333334</v>
      </c>
    </row>
    <row r="38" spans="1:17" ht="30.75" customHeight="1" x14ac:dyDescent="0.25">
      <c r="A38" s="17" t="s">
        <v>83</v>
      </c>
      <c r="B38" s="6" t="s">
        <v>59</v>
      </c>
      <c r="C38" s="9">
        <v>50</v>
      </c>
      <c r="D38" s="9">
        <v>1.35</v>
      </c>
      <c r="E38" s="9">
        <v>2.1</v>
      </c>
      <c r="F38" s="9">
        <v>2.2000000000000002</v>
      </c>
      <c r="G38" s="9">
        <v>32.75</v>
      </c>
      <c r="H38" s="9">
        <v>2.5</v>
      </c>
      <c r="I38" s="9">
        <v>1</v>
      </c>
      <c r="J38" s="9">
        <v>4.5</v>
      </c>
      <c r="K38" s="9">
        <v>0.7</v>
      </c>
      <c r="L38" s="9">
        <v>0.15</v>
      </c>
      <c r="M38" s="9">
        <v>0</v>
      </c>
      <c r="N38" s="9">
        <v>5.0000000000000001E-3</v>
      </c>
      <c r="O38" s="9">
        <v>0</v>
      </c>
      <c r="P38" s="9">
        <v>0.05</v>
      </c>
      <c r="Q38" s="9">
        <v>0</v>
      </c>
    </row>
    <row r="39" spans="1:17" s="16" customFormat="1" ht="47.25" customHeight="1" x14ac:dyDescent="0.25">
      <c r="A39" s="17" t="s">
        <v>103</v>
      </c>
      <c r="B39" s="6" t="s">
        <v>104</v>
      </c>
      <c r="C39" s="15">
        <v>80</v>
      </c>
      <c r="D39" s="15">
        <v>15.3</v>
      </c>
      <c r="E39" s="15">
        <v>19.899999999999999</v>
      </c>
      <c r="F39" s="15">
        <v>4.4000000000000004</v>
      </c>
      <c r="G39" s="15">
        <v>257.89999999999998</v>
      </c>
      <c r="H39" s="15">
        <v>87</v>
      </c>
      <c r="I39" s="15">
        <v>47</v>
      </c>
      <c r="J39" s="15">
        <v>55</v>
      </c>
      <c r="K39" s="15">
        <v>136.30000000000001</v>
      </c>
      <c r="L39" s="15">
        <v>11.8</v>
      </c>
      <c r="M39" s="15">
        <v>1</v>
      </c>
      <c r="N39" s="15">
        <v>7.0000000000000007E-2</v>
      </c>
      <c r="O39" s="15">
        <v>0.15</v>
      </c>
      <c r="P39" s="15">
        <v>0.8</v>
      </c>
      <c r="Q39" s="15">
        <v>0</v>
      </c>
    </row>
    <row r="40" spans="1:17" s="16" customFormat="1" ht="15.75" customHeight="1" x14ac:dyDescent="0.25">
      <c r="A40" s="17" t="s">
        <v>24</v>
      </c>
      <c r="B40" s="6" t="s">
        <v>50</v>
      </c>
      <c r="C40" s="15">
        <v>30</v>
      </c>
      <c r="D40" s="15">
        <v>2.2799999999999998</v>
      </c>
      <c r="E40" s="15">
        <v>0.24</v>
      </c>
      <c r="F40" s="15">
        <v>14.76</v>
      </c>
      <c r="G40" s="15">
        <v>57.9</v>
      </c>
      <c r="H40" s="15">
        <v>5.7</v>
      </c>
      <c r="I40" s="15">
        <v>3.9</v>
      </c>
      <c r="J40" s="15">
        <v>19.5</v>
      </c>
      <c r="K40" s="15">
        <v>0</v>
      </c>
      <c r="L40" s="15">
        <v>0</v>
      </c>
      <c r="M40" s="15">
        <v>0.36</v>
      </c>
      <c r="N40" s="15">
        <v>3.3000000000000002E-2</v>
      </c>
      <c r="O40" s="15">
        <v>8.9999999999999993E-3</v>
      </c>
      <c r="P40" s="15">
        <v>0.27</v>
      </c>
      <c r="Q40" s="15">
        <v>0</v>
      </c>
    </row>
    <row r="41" spans="1:17" ht="45.75" customHeight="1" x14ac:dyDescent="0.25">
      <c r="A41" s="3" t="s">
        <v>88</v>
      </c>
      <c r="B41" s="5" t="s">
        <v>89</v>
      </c>
      <c r="C41" s="9">
        <v>200</v>
      </c>
      <c r="D41" s="9">
        <v>0.3</v>
      </c>
      <c r="E41" s="9">
        <v>0</v>
      </c>
      <c r="F41" s="9">
        <v>6.7</v>
      </c>
      <c r="G41" s="9">
        <v>27.6</v>
      </c>
      <c r="H41" s="9">
        <v>6</v>
      </c>
      <c r="I41" s="9">
        <v>5</v>
      </c>
      <c r="J41" s="9">
        <v>8</v>
      </c>
      <c r="K41" s="9">
        <v>0</v>
      </c>
      <c r="L41" s="9">
        <v>0</v>
      </c>
      <c r="M41" s="9">
        <v>1</v>
      </c>
      <c r="N41" s="9">
        <v>0</v>
      </c>
      <c r="O41" s="9">
        <v>0.01</v>
      </c>
      <c r="P41" s="9">
        <v>7.0000000000000007E-2</v>
      </c>
      <c r="Q41" s="9">
        <v>1</v>
      </c>
    </row>
    <row r="42" spans="1:17" ht="15.75" x14ac:dyDescent="0.25">
      <c r="A42" s="2"/>
      <c r="B42" s="11" t="s">
        <v>18</v>
      </c>
      <c r="C42" s="9">
        <f t="shared" ref="C42:Q42" si="2">SUM(C37:C41)</f>
        <v>560</v>
      </c>
      <c r="D42" s="9">
        <f t="shared" si="2"/>
        <v>23.23</v>
      </c>
      <c r="E42" s="9">
        <f t="shared" si="2"/>
        <v>29.839999999999996</v>
      </c>
      <c r="F42" s="9">
        <f t="shared" si="2"/>
        <v>59.660000000000004</v>
      </c>
      <c r="G42" s="9">
        <f t="shared" si="2"/>
        <v>587.2166666666667</v>
      </c>
      <c r="H42" s="9">
        <f t="shared" si="2"/>
        <v>154.53333333333333</v>
      </c>
      <c r="I42" s="9">
        <f t="shared" si="2"/>
        <v>94.233333333333348</v>
      </c>
      <c r="J42" s="9">
        <f t="shared" si="2"/>
        <v>199</v>
      </c>
      <c r="K42" s="9">
        <f t="shared" si="2"/>
        <v>175</v>
      </c>
      <c r="L42" s="9">
        <f t="shared" si="2"/>
        <v>13.016666666666667</v>
      </c>
      <c r="M42" s="9">
        <f t="shared" si="2"/>
        <v>3.6933333333333329</v>
      </c>
      <c r="N42" s="9">
        <f t="shared" si="2"/>
        <v>0.26800000000000002</v>
      </c>
      <c r="O42" s="9">
        <f t="shared" si="2"/>
        <v>0.26233333333333336</v>
      </c>
      <c r="P42" s="9">
        <f t="shared" si="2"/>
        <v>2.3899999999999997</v>
      </c>
      <c r="Q42" s="9">
        <f t="shared" si="2"/>
        <v>14.333333333333334</v>
      </c>
    </row>
    <row r="43" spans="1:17" ht="15.75" x14ac:dyDescent="0.25">
      <c r="A43" s="13"/>
      <c r="B43" s="35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5" spans="1:17" s="14" customFormat="1" ht="15.75" x14ac:dyDescent="0.25">
      <c r="A45" s="39" t="s">
        <v>60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1:17" x14ac:dyDescent="0.25">
      <c r="A46" s="40" t="s">
        <v>0</v>
      </c>
      <c r="B46" s="40" t="s">
        <v>1</v>
      </c>
      <c r="C46" s="40" t="s">
        <v>2</v>
      </c>
      <c r="D46" s="43" t="s">
        <v>3</v>
      </c>
      <c r="E46" s="44"/>
      <c r="F46" s="45"/>
      <c r="G46" s="40" t="s">
        <v>16</v>
      </c>
      <c r="H46" s="43" t="s">
        <v>7</v>
      </c>
      <c r="I46" s="44"/>
      <c r="J46" s="44"/>
      <c r="K46" s="44"/>
      <c r="L46" s="44"/>
      <c r="M46" s="45"/>
      <c r="N46" s="43" t="s">
        <v>19</v>
      </c>
      <c r="O46" s="44"/>
      <c r="P46" s="44"/>
      <c r="Q46" s="45"/>
    </row>
    <row r="47" spans="1:17" ht="45.75" customHeight="1" x14ac:dyDescent="0.25">
      <c r="A47" s="42"/>
      <c r="B47" s="42"/>
      <c r="C47" s="42"/>
      <c r="D47" s="7" t="s">
        <v>4</v>
      </c>
      <c r="E47" s="8" t="s">
        <v>5</v>
      </c>
      <c r="F47" s="8" t="s">
        <v>6</v>
      </c>
      <c r="G47" s="42"/>
      <c r="H47" s="6" t="s">
        <v>8</v>
      </c>
      <c r="I47" s="6" t="s">
        <v>9</v>
      </c>
      <c r="J47" s="6" t="s">
        <v>10</v>
      </c>
      <c r="K47" s="33" t="s">
        <v>100</v>
      </c>
      <c r="L47" s="33" t="s">
        <v>101</v>
      </c>
      <c r="M47" s="6" t="s">
        <v>11</v>
      </c>
      <c r="N47" s="6" t="s">
        <v>12</v>
      </c>
      <c r="O47" s="6" t="s">
        <v>13</v>
      </c>
      <c r="P47" s="6" t="s">
        <v>14</v>
      </c>
      <c r="Q47" s="6" t="s">
        <v>15</v>
      </c>
    </row>
    <row r="48" spans="1:17" ht="15.75" x14ac:dyDescent="0.25">
      <c r="A48" s="1"/>
      <c r="B48" s="36" t="s">
        <v>17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8"/>
    </row>
    <row r="49" spans="1:17" ht="30" customHeight="1" x14ac:dyDescent="0.25">
      <c r="A49" s="3" t="s">
        <v>82</v>
      </c>
      <c r="B49" s="4" t="s">
        <v>23</v>
      </c>
      <c r="C49" s="21">
        <v>250</v>
      </c>
      <c r="D49" s="21">
        <f>32.3*250/200</f>
        <v>40.374999999999993</v>
      </c>
      <c r="E49" s="21">
        <f>21.6*250/200</f>
        <v>27</v>
      </c>
      <c r="F49" s="21">
        <f>30*250/200</f>
        <v>37.5</v>
      </c>
      <c r="G49" s="21">
        <f>443.3*250/200</f>
        <v>554.125</v>
      </c>
      <c r="H49" s="21">
        <f>292*250/200</f>
        <v>365</v>
      </c>
      <c r="I49" s="21">
        <f>45*250/200</f>
        <v>56.25</v>
      </c>
      <c r="J49" s="21">
        <f>389*250/200</f>
        <v>486.25</v>
      </c>
      <c r="K49" s="21">
        <f>38*250/200</f>
        <v>47.5</v>
      </c>
      <c r="L49" s="21">
        <f>52.1*250/200</f>
        <v>65.125</v>
      </c>
      <c r="M49" s="21">
        <f>1*250/200</f>
        <v>1.25</v>
      </c>
      <c r="N49" s="21">
        <f>0.11*250/200</f>
        <v>0.13750000000000001</v>
      </c>
      <c r="O49" s="21">
        <f>0.46*250/200</f>
        <v>0.57499999999999996</v>
      </c>
      <c r="P49" s="21">
        <f>1.1*250/200</f>
        <v>1.375</v>
      </c>
      <c r="Q49" s="21">
        <v>0</v>
      </c>
    </row>
    <row r="50" spans="1:17" s="16" customFormat="1" ht="15.75" customHeight="1" x14ac:dyDescent="0.25">
      <c r="A50" s="17" t="s">
        <v>24</v>
      </c>
      <c r="B50" s="6" t="s">
        <v>50</v>
      </c>
      <c r="C50" s="15">
        <v>30</v>
      </c>
      <c r="D50" s="15">
        <v>2.2799999999999998</v>
      </c>
      <c r="E50" s="15">
        <v>0.24</v>
      </c>
      <c r="F50" s="15">
        <v>14.76</v>
      </c>
      <c r="G50" s="15">
        <v>57.9</v>
      </c>
      <c r="H50" s="15">
        <v>5.7</v>
      </c>
      <c r="I50" s="15">
        <v>3.9</v>
      </c>
      <c r="J50" s="15">
        <v>19.5</v>
      </c>
      <c r="K50" s="15">
        <v>0</v>
      </c>
      <c r="L50" s="15">
        <v>0</v>
      </c>
      <c r="M50" s="15">
        <v>0.36</v>
      </c>
      <c r="N50" s="15">
        <v>3.3000000000000002E-2</v>
      </c>
      <c r="O50" s="15">
        <v>8.9999999999999993E-3</v>
      </c>
      <c r="P50" s="15">
        <v>0.27</v>
      </c>
      <c r="Q50" s="15">
        <v>0</v>
      </c>
    </row>
    <row r="51" spans="1:17" s="16" customFormat="1" ht="33" customHeight="1" x14ac:dyDescent="0.25">
      <c r="A51" s="17" t="s">
        <v>85</v>
      </c>
      <c r="B51" s="6" t="s">
        <v>86</v>
      </c>
      <c r="C51" s="15">
        <v>200</v>
      </c>
      <c r="D51" s="15">
        <v>0.2</v>
      </c>
      <c r="E51" s="15">
        <v>0</v>
      </c>
      <c r="F51" s="15">
        <v>0.1</v>
      </c>
      <c r="G51" s="15">
        <v>1</v>
      </c>
      <c r="H51" s="15">
        <v>4</v>
      </c>
      <c r="I51" s="15">
        <v>4</v>
      </c>
      <c r="J51" s="15">
        <v>7</v>
      </c>
      <c r="K51" s="15">
        <v>0</v>
      </c>
      <c r="L51" s="15">
        <v>0</v>
      </c>
      <c r="M51" s="15">
        <v>1</v>
      </c>
      <c r="N51" s="15">
        <v>0</v>
      </c>
      <c r="O51" s="15">
        <v>0.01</v>
      </c>
      <c r="P51" s="15">
        <v>0.06</v>
      </c>
      <c r="Q51" s="15">
        <v>0</v>
      </c>
    </row>
    <row r="52" spans="1:17" s="16" customFormat="1" ht="30" customHeight="1" x14ac:dyDescent="0.25">
      <c r="A52" s="17" t="s">
        <v>74</v>
      </c>
      <c r="B52" s="5" t="s">
        <v>51</v>
      </c>
      <c r="C52" s="15">
        <v>10</v>
      </c>
      <c r="D52" s="15">
        <v>0.1</v>
      </c>
      <c r="E52" s="15">
        <v>8.3000000000000007</v>
      </c>
      <c r="F52" s="15">
        <v>0.1</v>
      </c>
      <c r="G52" s="15">
        <v>74.900000000000006</v>
      </c>
      <c r="H52" s="15">
        <v>2</v>
      </c>
      <c r="I52" s="15">
        <v>0</v>
      </c>
      <c r="J52" s="15">
        <v>2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0.01</v>
      </c>
      <c r="Q52" s="15">
        <v>0</v>
      </c>
    </row>
    <row r="53" spans="1:17" ht="15.75" x14ac:dyDescent="0.25">
      <c r="A53" s="2"/>
      <c r="B53" s="11" t="s">
        <v>18</v>
      </c>
      <c r="C53" s="9">
        <f t="shared" ref="C53:Q53" si="3">SUM(C49:C52)</f>
        <v>490</v>
      </c>
      <c r="D53" s="9">
        <f t="shared" si="3"/>
        <v>42.954999999999998</v>
      </c>
      <c r="E53" s="9">
        <f t="shared" si="3"/>
        <v>35.54</v>
      </c>
      <c r="F53" s="9">
        <f t="shared" si="3"/>
        <v>52.46</v>
      </c>
      <c r="G53" s="9">
        <f t="shared" si="3"/>
        <v>687.92499999999995</v>
      </c>
      <c r="H53" s="9">
        <f t="shared" si="3"/>
        <v>376.7</v>
      </c>
      <c r="I53" s="9">
        <f t="shared" si="3"/>
        <v>64.150000000000006</v>
      </c>
      <c r="J53" s="9">
        <f t="shared" si="3"/>
        <v>514.75</v>
      </c>
      <c r="K53" s="9">
        <f t="shared" si="3"/>
        <v>47.5</v>
      </c>
      <c r="L53" s="9">
        <f t="shared" si="3"/>
        <v>65.125</v>
      </c>
      <c r="M53" s="9">
        <f t="shared" si="3"/>
        <v>2.61</v>
      </c>
      <c r="N53" s="9">
        <f t="shared" si="3"/>
        <v>0.17050000000000001</v>
      </c>
      <c r="O53" s="9">
        <f t="shared" si="3"/>
        <v>0.59399999999999997</v>
      </c>
      <c r="P53" s="9">
        <f t="shared" si="3"/>
        <v>1.7150000000000001</v>
      </c>
      <c r="Q53" s="9">
        <f t="shared" si="3"/>
        <v>0</v>
      </c>
    </row>
    <row r="55" spans="1:17" s="14" customFormat="1" ht="15.75" x14ac:dyDescent="0.25">
      <c r="A55" s="39" t="s">
        <v>61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1:17" x14ac:dyDescent="0.25">
      <c r="A56" s="40" t="s">
        <v>0</v>
      </c>
      <c r="B56" s="40" t="s">
        <v>1</v>
      </c>
      <c r="C56" s="40" t="s">
        <v>2</v>
      </c>
      <c r="D56" s="43" t="s">
        <v>3</v>
      </c>
      <c r="E56" s="44"/>
      <c r="F56" s="45"/>
      <c r="G56" s="40" t="s">
        <v>16</v>
      </c>
      <c r="H56" s="43" t="s">
        <v>7</v>
      </c>
      <c r="I56" s="44"/>
      <c r="J56" s="44"/>
      <c r="K56" s="44"/>
      <c r="L56" s="44"/>
      <c r="M56" s="45"/>
      <c r="N56" s="43" t="s">
        <v>19</v>
      </c>
      <c r="O56" s="44"/>
      <c r="P56" s="44"/>
      <c r="Q56" s="45"/>
    </row>
    <row r="57" spans="1:17" ht="45.75" customHeight="1" x14ac:dyDescent="0.25">
      <c r="A57" s="42"/>
      <c r="B57" s="42"/>
      <c r="C57" s="42"/>
      <c r="D57" s="7" t="s">
        <v>4</v>
      </c>
      <c r="E57" s="8" t="s">
        <v>5</v>
      </c>
      <c r="F57" s="8" t="s">
        <v>6</v>
      </c>
      <c r="G57" s="42"/>
      <c r="H57" s="6" t="s">
        <v>8</v>
      </c>
      <c r="I57" s="6" t="s">
        <v>9</v>
      </c>
      <c r="J57" s="6" t="s">
        <v>10</v>
      </c>
      <c r="K57" s="33" t="s">
        <v>100</v>
      </c>
      <c r="L57" s="33" t="s">
        <v>101</v>
      </c>
      <c r="M57" s="6" t="s">
        <v>11</v>
      </c>
      <c r="N57" s="6" t="s">
        <v>12</v>
      </c>
      <c r="O57" s="6" t="s">
        <v>13</v>
      </c>
      <c r="P57" s="6" t="s">
        <v>14</v>
      </c>
      <c r="Q57" s="6" t="s">
        <v>15</v>
      </c>
    </row>
    <row r="58" spans="1:17" ht="15.75" x14ac:dyDescent="0.25">
      <c r="A58" s="1"/>
      <c r="B58" s="36" t="s">
        <v>17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8"/>
    </row>
    <row r="59" spans="1:17" ht="31.5" x14ac:dyDescent="0.25">
      <c r="A59" s="3" t="s">
        <v>79</v>
      </c>
      <c r="B59" s="4" t="s">
        <v>62</v>
      </c>
      <c r="C59" s="21">
        <v>150</v>
      </c>
      <c r="D59" s="21">
        <v>3.6</v>
      </c>
      <c r="E59" s="21">
        <v>5.2</v>
      </c>
      <c r="F59" s="21">
        <v>38.1</v>
      </c>
      <c r="G59" s="21">
        <v>213.5</v>
      </c>
      <c r="H59" s="21">
        <v>14</v>
      </c>
      <c r="I59" s="21">
        <v>10</v>
      </c>
      <c r="J59" s="21">
        <v>47</v>
      </c>
      <c r="K59" s="21">
        <v>20</v>
      </c>
      <c r="L59" s="21">
        <v>7.3</v>
      </c>
      <c r="M59" s="21">
        <v>1</v>
      </c>
      <c r="N59" s="21">
        <v>0</v>
      </c>
      <c r="O59" s="21">
        <v>0</v>
      </c>
      <c r="P59" s="21">
        <v>0.7</v>
      </c>
      <c r="Q59" s="21">
        <v>0</v>
      </c>
    </row>
    <row r="60" spans="1:17" ht="33.75" customHeight="1" x14ac:dyDescent="0.25">
      <c r="A60" s="17" t="s">
        <v>105</v>
      </c>
      <c r="B60" s="6" t="s">
        <v>106</v>
      </c>
      <c r="C60" s="9">
        <v>80</v>
      </c>
      <c r="D60" s="9">
        <v>10.5</v>
      </c>
      <c r="E60" s="9">
        <v>6</v>
      </c>
      <c r="F60" s="9">
        <v>2.5</v>
      </c>
      <c r="G60" s="9">
        <v>106.3</v>
      </c>
      <c r="H60" s="9">
        <v>32</v>
      </c>
      <c r="I60" s="9">
        <v>37</v>
      </c>
      <c r="J60" s="9">
        <v>28</v>
      </c>
      <c r="K60" s="9">
        <v>106.8</v>
      </c>
      <c r="L60" s="9">
        <v>9.6</v>
      </c>
      <c r="M60" s="9">
        <v>0</v>
      </c>
      <c r="N60" s="9">
        <v>0.06</v>
      </c>
      <c r="O60" s="9">
        <v>0.11</v>
      </c>
      <c r="P60" s="9">
        <v>0.6</v>
      </c>
      <c r="Q60" s="9">
        <v>1</v>
      </c>
    </row>
    <row r="61" spans="1:17" s="16" customFormat="1" ht="15.75" customHeight="1" x14ac:dyDescent="0.25">
      <c r="A61" s="17" t="s">
        <v>24</v>
      </c>
      <c r="B61" s="6" t="s">
        <v>50</v>
      </c>
      <c r="C61" s="15">
        <v>30</v>
      </c>
      <c r="D61" s="15">
        <v>2.2799999999999998</v>
      </c>
      <c r="E61" s="15">
        <v>0.24</v>
      </c>
      <c r="F61" s="15">
        <v>14.76</v>
      </c>
      <c r="G61" s="15">
        <v>57.9</v>
      </c>
      <c r="H61" s="15">
        <v>5.7</v>
      </c>
      <c r="I61" s="15">
        <v>3.9</v>
      </c>
      <c r="J61" s="15">
        <v>19.5</v>
      </c>
      <c r="K61" s="15">
        <v>0</v>
      </c>
      <c r="L61" s="15">
        <v>0</v>
      </c>
      <c r="M61" s="15">
        <v>0.36</v>
      </c>
      <c r="N61" s="15">
        <v>3.3000000000000002E-2</v>
      </c>
      <c r="O61" s="15">
        <v>8.9999999999999993E-3</v>
      </c>
      <c r="P61" s="15">
        <v>0.27</v>
      </c>
      <c r="Q61" s="15">
        <v>0</v>
      </c>
    </row>
    <row r="62" spans="1:17" ht="33" customHeight="1" x14ac:dyDescent="0.25">
      <c r="A62" s="3" t="s">
        <v>87</v>
      </c>
      <c r="B62" s="5" t="s">
        <v>53</v>
      </c>
      <c r="C62" s="9">
        <v>200</v>
      </c>
      <c r="D62" s="9">
        <v>0.2</v>
      </c>
      <c r="E62" s="9">
        <v>0</v>
      </c>
      <c r="F62" s="9">
        <v>6.4</v>
      </c>
      <c r="G62" s="9">
        <v>26.4</v>
      </c>
      <c r="H62" s="9">
        <v>4</v>
      </c>
      <c r="I62" s="9">
        <v>4</v>
      </c>
      <c r="J62" s="9">
        <v>7</v>
      </c>
      <c r="K62" s="9">
        <v>0</v>
      </c>
      <c r="L62" s="9">
        <v>0</v>
      </c>
      <c r="M62" s="9">
        <v>1</v>
      </c>
      <c r="N62" s="9">
        <v>0</v>
      </c>
      <c r="O62" s="9">
        <v>0</v>
      </c>
      <c r="P62" s="9">
        <v>0.1</v>
      </c>
      <c r="Q62" s="9">
        <v>0</v>
      </c>
    </row>
    <row r="63" spans="1:17" ht="15.75" x14ac:dyDescent="0.25">
      <c r="A63" s="2"/>
      <c r="B63" s="11" t="s">
        <v>18</v>
      </c>
      <c r="C63" s="9">
        <f t="shared" ref="C63:Q63" si="4">SUM(C59:C62)</f>
        <v>460</v>
      </c>
      <c r="D63" s="9">
        <f t="shared" si="4"/>
        <v>16.579999999999998</v>
      </c>
      <c r="E63" s="9">
        <f t="shared" si="4"/>
        <v>11.44</v>
      </c>
      <c r="F63" s="9">
        <f t="shared" si="4"/>
        <v>61.76</v>
      </c>
      <c r="G63" s="9">
        <f t="shared" si="4"/>
        <v>404.09999999999997</v>
      </c>
      <c r="H63" s="9">
        <f t="shared" si="4"/>
        <v>55.7</v>
      </c>
      <c r="I63" s="9">
        <f t="shared" si="4"/>
        <v>54.9</v>
      </c>
      <c r="J63" s="9">
        <f t="shared" si="4"/>
        <v>101.5</v>
      </c>
      <c r="K63" s="9">
        <f t="shared" si="4"/>
        <v>126.8</v>
      </c>
      <c r="L63" s="9">
        <f t="shared" si="4"/>
        <v>16.899999999999999</v>
      </c>
      <c r="M63" s="9">
        <f t="shared" si="4"/>
        <v>2.36</v>
      </c>
      <c r="N63" s="9">
        <f t="shared" si="4"/>
        <v>9.2999999999999999E-2</v>
      </c>
      <c r="O63" s="9">
        <f t="shared" si="4"/>
        <v>0.11899999999999999</v>
      </c>
      <c r="P63" s="9">
        <f t="shared" si="4"/>
        <v>1.67</v>
      </c>
      <c r="Q63" s="9">
        <f t="shared" si="4"/>
        <v>1</v>
      </c>
    </row>
    <row r="64" spans="1:17" ht="15.75" x14ac:dyDescent="0.25">
      <c r="A64" s="13"/>
      <c r="B64" s="35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 s="14" customFormat="1" ht="15.75" x14ac:dyDescent="0.25">
      <c r="A65" s="39" t="s">
        <v>63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</row>
    <row r="66" spans="1:17" x14ac:dyDescent="0.25">
      <c r="A66" s="40" t="s">
        <v>0</v>
      </c>
      <c r="B66" s="40" t="s">
        <v>1</v>
      </c>
      <c r="C66" s="40" t="s">
        <v>2</v>
      </c>
      <c r="D66" s="43" t="s">
        <v>3</v>
      </c>
      <c r="E66" s="44"/>
      <c r="F66" s="45"/>
      <c r="G66" s="40" t="s">
        <v>16</v>
      </c>
      <c r="H66" s="43" t="s">
        <v>7</v>
      </c>
      <c r="I66" s="44"/>
      <c r="J66" s="44"/>
      <c r="K66" s="44"/>
      <c r="L66" s="44"/>
      <c r="M66" s="45"/>
      <c r="N66" s="43" t="s">
        <v>19</v>
      </c>
      <c r="O66" s="44"/>
      <c r="P66" s="44"/>
      <c r="Q66" s="45"/>
    </row>
    <row r="67" spans="1:17" ht="45.75" customHeight="1" x14ac:dyDescent="0.25">
      <c r="A67" s="42"/>
      <c r="B67" s="42"/>
      <c r="C67" s="42"/>
      <c r="D67" s="7" t="s">
        <v>4</v>
      </c>
      <c r="E67" s="8" t="s">
        <v>5</v>
      </c>
      <c r="F67" s="8" t="s">
        <v>6</v>
      </c>
      <c r="G67" s="42"/>
      <c r="H67" s="6" t="s">
        <v>8</v>
      </c>
      <c r="I67" s="6" t="s">
        <v>9</v>
      </c>
      <c r="J67" s="6" t="s">
        <v>10</v>
      </c>
      <c r="K67" s="33" t="s">
        <v>100</v>
      </c>
      <c r="L67" s="33" t="s">
        <v>101</v>
      </c>
      <c r="M67" s="6" t="s">
        <v>11</v>
      </c>
      <c r="N67" s="6" t="s">
        <v>12</v>
      </c>
      <c r="O67" s="6" t="s">
        <v>13</v>
      </c>
      <c r="P67" s="6" t="s">
        <v>14</v>
      </c>
      <c r="Q67" s="6" t="s">
        <v>15</v>
      </c>
    </row>
    <row r="68" spans="1:17" ht="15.75" x14ac:dyDescent="0.25">
      <c r="A68" s="1"/>
      <c r="B68" s="36" t="s">
        <v>17</v>
      </c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8"/>
    </row>
    <row r="69" spans="1:17" ht="31.5" x14ac:dyDescent="0.25">
      <c r="A69" s="3" t="s">
        <v>75</v>
      </c>
      <c r="B69" s="4" t="s">
        <v>64</v>
      </c>
      <c r="C69" s="21">
        <v>215</v>
      </c>
      <c r="D69" s="21">
        <f>8.4*215/200</f>
        <v>9.0299999999999994</v>
      </c>
      <c r="E69" s="21">
        <f>11.5*215/200</f>
        <v>12.362500000000001</v>
      </c>
      <c r="F69" s="21">
        <f>38.8*215/200</f>
        <v>41.71</v>
      </c>
      <c r="G69" s="21">
        <f>292.1*215/200</f>
        <v>314.00750000000005</v>
      </c>
      <c r="H69" s="21">
        <f>129*215/200</f>
        <v>138.67500000000001</v>
      </c>
      <c r="I69" s="21">
        <f>58*215/200</f>
        <v>62.35</v>
      </c>
      <c r="J69" s="21">
        <f>185*215/200</f>
        <v>198.875</v>
      </c>
      <c r="K69" s="21">
        <f>51.6*215/200</f>
        <v>55.47</v>
      </c>
      <c r="L69" s="21">
        <f>3.1*215/200</f>
        <v>3.3325</v>
      </c>
      <c r="M69" s="21">
        <f>3*215/200</f>
        <v>3.2250000000000001</v>
      </c>
      <c r="N69" s="21">
        <f>0.24*215/200</f>
        <v>0.25800000000000001</v>
      </c>
      <c r="O69" s="21">
        <f>0.13*215/200</f>
        <v>0.13974999999999999</v>
      </c>
      <c r="P69" s="21">
        <f>0.7*215/200</f>
        <v>0.75249999999999995</v>
      </c>
      <c r="Q69" s="21">
        <v>0</v>
      </c>
    </row>
    <row r="70" spans="1:17" ht="31.5" x14ac:dyDescent="0.25">
      <c r="A70" s="3" t="s">
        <v>73</v>
      </c>
      <c r="B70" s="4" t="s">
        <v>55</v>
      </c>
      <c r="C70" s="21">
        <v>30</v>
      </c>
      <c r="D70" s="21">
        <v>7.02</v>
      </c>
      <c r="E70" s="21">
        <v>9</v>
      </c>
      <c r="F70" s="21">
        <v>0</v>
      </c>
      <c r="G70" s="21">
        <v>109.1</v>
      </c>
      <c r="H70" s="21">
        <v>300</v>
      </c>
      <c r="I70" s="21">
        <v>14</v>
      </c>
      <c r="J70" s="21">
        <v>163</v>
      </c>
      <c r="K70" s="21">
        <v>0</v>
      </c>
      <c r="L70" s="21">
        <v>0</v>
      </c>
      <c r="M70" s="21">
        <v>0</v>
      </c>
      <c r="N70" s="21">
        <v>0.01</v>
      </c>
      <c r="O70" s="21">
        <v>0.09</v>
      </c>
      <c r="P70" s="21">
        <v>0.09</v>
      </c>
      <c r="Q70" s="21">
        <v>0</v>
      </c>
    </row>
    <row r="71" spans="1:17" s="16" customFormat="1" ht="30" customHeight="1" x14ac:dyDescent="0.25">
      <c r="A71" s="32" t="s">
        <v>92</v>
      </c>
      <c r="B71" s="5" t="s">
        <v>21</v>
      </c>
      <c r="C71" s="15">
        <v>200</v>
      </c>
      <c r="D71" s="15">
        <v>4.5999999999999996</v>
      </c>
      <c r="E71" s="15">
        <v>4.3</v>
      </c>
      <c r="F71" s="15">
        <v>12.4</v>
      </c>
      <c r="G71" s="15">
        <v>106.7</v>
      </c>
      <c r="H71" s="15">
        <v>144</v>
      </c>
      <c r="I71" s="15">
        <v>34</v>
      </c>
      <c r="J71" s="15">
        <v>131</v>
      </c>
      <c r="K71" s="15">
        <v>11.7</v>
      </c>
      <c r="L71" s="15">
        <v>2.2999999999999998</v>
      </c>
      <c r="M71" s="15">
        <v>1</v>
      </c>
      <c r="N71" s="15">
        <v>0</v>
      </c>
      <c r="O71" s="15">
        <v>0.2</v>
      </c>
      <c r="P71" s="15">
        <v>0.2</v>
      </c>
      <c r="Q71" s="15">
        <v>1</v>
      </c>
    </row>
    <row r="72" spans="1:17" s="16" customFormat="1" ht="15.75" customHeight="1" x14ac:dyDescent="0.25">
      <c r="A72" s="17" t="s">
        <v>24</v>
      </c>
      <c r="B72" s="6" t="s">
        <v>50</v>
      </c>
      <c r="C72" s="15">
        <v>30</v>
      </c>
      <c r="D72" s="15">
        <v>2.2799999999999998</v>
      </c>
      <c r="E72" s="15">
        <v>0.24</v>
      </c>
      <c r="F72" s="15">
        <v>14.76</v>
      </c>
      <c r="G72" s="15">
        <v>57.9</v>
      </c>
      <c r="H72" s="15">
        <v>5.7</v>
      </c>
      <c r="I72" s="15">
        <v>3.9</v>
      </c>
      <c r="J72" s="15">
        <v>19.5</v>
      </c>
      <c r="K72" s="15">
        <v>0</v>
      </c>
      <c r="L72" s="15">
        <v>0</v>
      </c>
      <c r="M72" s="15">
        <v>0.36</v>
      </c>
      <c r="N72" s="15">
        <v>3.3000000000000002E-2</v>
      </c>
      <c r="O72" s="15">
        <v>8.9999999999999993E-3</v>
      </c>
      <c r="P72" s="15">
        <v>0.27</v>
      </c>
      <c r="Q72" s="15">
        <v>0</v>
      </c>
    </row>
    <row r="73" spans="1:17" ht="16.5" customHeight="1" x14ac:dyDescent="0.25">
      <c r="A73" s="3"/>
      <c r="B73" s="5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ht="15.75" x14ac:dyDescent="0.25">
      <c r="A74" s="2"/>
      <c r="B74" s="11" t="s">
        <v>18</v>
      </c>
      <c r="C74" s="9">
        <f>SUM(C69:C73)</f>
        <v>475</v>
      </c>
      <c r="D74" s="9">
        <f>SUM(D69:D73)</f>
        <v>22.93</v>
      </c>
      <c r="E74" s="9">
        <f t="shared" ref="E74:Q74" si="5">SUM(E69:E73)</f>
        <v>25.9025</v>
      </c>
      <c r="F74" s="9">
        <f t="shared" si="5"/>
        <v>68.87</v>
      </c>
      <c r="G74" s="9">
        <f t="shared" si="5"/>
        <v>587.7075000000001</v>
      </c>
      <c r="H74" s="9">
        <f t="shared" si="5"/>
        <v>588.375</v>
      </c>
      <c r="I74" s="9">
        <f t="shared" si="5"/>
        <v>114.25</v>
      </c>
      <c r="J74" s="9">
        <f t="shared" si="5"/>
        <v>512.375</v>
      </c>
      <c r="K74" s="9">
        <f t="shared" si="5"/>
        <v>67.17</v>
      </c>
      <c r="L74" s="9">
        <f t="shared" si="5"/>
        <v>5.6325000000000003</v>
      </c>
      <c r="M74" s="9">
        <f t="shared" si="5"/>
        <v>4.585</v>
      </c>
      <c r="N74" s="9">
        <f t="shared" si="5"/>
        <v>0.30100000000000005</v>
      </c>
      <c r="O74" s="9">
        <f t="shared" si="5"/>
        <v>0.43874999999999997</v>
      </c>
      <c r="P74" s="9">
        <f t="shared" si="5"/>
        <v>1.3125</v>
      </c>
      <c r="Q74" s="9">
        <f t="shared" si="5"/>
        <v>1</v>
      </c>
    </row>
    <row r="76" spans="1:17" s="14" customFormat="1" ht="15.75" x14ac:dyDescent="0.25">
      <c r="A76" s="39" t="s">
        <v>66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 x14ac:dyDescent="0.25">
      <c r="A77" s="40" t="s">
        <v>0</v>
      </c>
      <c r="B77" s="40" t="s">
        <v>1</v>
      </c>
      <c r="C77" s="40" t="s">
        <v>2</v>
      </c>
      <c r="D77" s="43" t="s">
        <v>3</v>
      </c>
      <c r="E77" s="44"/>
      <c r="F77" s="45"/>
      <c r="G77" s="40" t="s">
        <v>16</v>
      </c>
      <c r="H77" s="43" t="s">
        <v>7</v>
      </c>
      <c r="I77" s="44"/>
      <c r="J77" s="44"/>
      <c r="K77" s="44"/>
      <c r="L77" s="44"/>
      <c r="M77" s="45"/>
      <c r="N77" s="43" t="s">
        <v>19</v>
      </c>
      <c r="O77" s="44"/>
      <c r="P77" s="44"/>
      <c r="Q77" s="45"/>
    </row>
    <row r="78" spans="1:17" ht="45.75" customHeight="1" x14ac:dyDescent="0.25">
      <c r="A78" s="42"/>
      <c r="B78" s="42"/>
      <c r="C78" s="42"/>
      <c r="D78" s="7" t="s">
        <v>4</v>
      </c>
      <c r="E78" s="8" t="s">
        <v>5</v>
      </c>
      <c r="F78" s="8" t="s">
        <v>6</v>
      </c>
      <c r="G78" s="42"/>
      <c r="H78" s="6" t="s">
        <v>8</v>
      </c>
      <c r="I78" s="6" t="s">
        <v>9</v>
      </c>
      <c r="J78" s="6" t="s">
        <v>10</v>
      </c>
      <c r="K78" s="33" t="s">
        <v>100</v>
      </c>
      <c r="L78" s="33" t="s">
        <v>101</v>
      </c>
      <c r="M78" s="6" t="s">
        <v>11</v>
      </c>
      <c r="N78" s="6" t="s">
        <v>12</v>
      </c>
      <c r="O78" s="6" t="s">
        <v>13</v>
      </c>
      <c r="P78" s="6" t="s">
        <v>14</v>
      </c>
      <c r="Q78" s="6" t="s">
        <v>15</v>
      </c>
    </row>
    <row r="79" spans="1:17" ht="15.75" x14ac:dyDescent="0.25">
      <c r="A79" s="1"/>
      <c r="B79" s="36" t="s">
        <v>17</v>
      </c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8"/>
    </row>
    <row r="80" spans="1:17" ht="31.5" x14ac:dyDescent="0.25">
      <c r="A80" s="3" t="s">
        <v>72</v>
      </c>
      <c r="B80" s="4" t="s">
        <v>71</v>
      </c>
      <c r="C80" s="9">
        <v>250</v>
      </c>
      <c r="D80" s="9">
        <f>27.3*250/200</f>
        <v>34.125</v>
      </c>
      <c r="E80" s="9">
        <f>7.9*250/200</f>
        <v>9.875</v>
      </c>
      <c r="F80" s="9">
        <f>34.7*250/200</f>
        <v>43.375</v>
      </c>
      <c r="G80" s="9">
        <f>318.8*250/200</f>
        <v>398.5</v>
      </c>
      <c r="H80" s="9">
        <f>29*250/200</f>
        <v>36.25</v>
      </c>
      <c r="I80" s="9">
        <f>93*250/200</f>
        <v>116.25</v>
      </c>
      <c r="J80" s="9">
        <f>212*250/200</f>
        <v>265</v>
      </c>
      <c r="K80" s="9">
        <f>23.1*250/200</f>
        <v>28.875</v>
      </c>
      <c r="L80" s="9">
        <f>27.5*250/200</f>
        <v>34.375</v>
      </c>
      <c r="M80" s="9">
        <f>2*250/200</f>
        <v>2.5</v>
      </c>
      <c r="N80" s="9">
        <f>0.08*250/200</f>
        <v>0.1</v>
      </c>
      <c r="O80" s="9">
        <f>0.08*250/200</f>
        <v>0.1</v>
      </c>
      <c r="P80" s="9">
        <f>7.3*250/200</f>
        <v>9.125</v>
      </c>
      <c r="Q80" s="9">
        <f>2*250/200</f>
        <v>2.5</v>
      </c>
    </row>
    <row r="81" spans="1:17" s="16" customFormat="1" ht="15.75" customHeight="1" x14ac:dyDescent="0.25">
      <c r="A81" s="17" t="s">
        <v>24</v>
      </c>
      <c r="B81" s="6" t="s">
        <v>50</v>
      </c>
      <c r="C81" s="15">
        <v>30</v>
      </c>
      <c r="D81" s="15">
        <v>2.2799999999999998</v>
      </c>
      <c r="E81" s="15">
        <v>0.24</v>
      </c>
      <c r="F81" s="15">
        <v>14.76</v>
      </c>
      <c r="G81" s="15">
        <v>57.9</v>
      </c>
      <c r="H81" s="15">
        <v>5.7</v>
      </c>
      <c r="I81" s="15">
        <v>3.9</v>
      </c>
      <c r="J81" s="15">
        <v>19.5</v>
      </c>
      <c r="K81" s="15">
        <v>0</v>
      </c>
      <c r="L81" s="15">
        <v>0</v>
      </c>
      <c r="M81" s="15">
        <v>0.36</v>
      </c>
      <c r="N81" s="15">
        <v>3.3000000000000002E-2</v>
      </c>
      <c r="O81" s="15">
        <v>8.9999999999999993E-3</v>
      </c>
      <c r="P81" s="15">
        <v>0.27</v>
      </c>
      <c r="Q81" s="15">
        <v>0</v>
      </c>
    </row>
    <row r="82" spans="1:17" ht="45.75" customHeight="1" x14ac:dyDescent="0.25">
      <c r="A82" s="3" t="s">
        <v>88</v>
      </c>
      <c r="B82" s="5" t="s">
        <v>89</v>
      </c>
      <c r="C82" s="9">
        <v>200</v>
      </c>
      <c r="D82" s="9">
        <v>0.2</v>
      </c>
      <c r="E82" s="9">
        <v>0</v>
      </c>
      <c r="F82" s="9">
        <v>6.6</v>
      </c>
      <c r="G82" s="9">
        <v>27.6</v>
      </c>
      <c r="H82" s="9">
        <v>6</v>
      </c>
      <c r="I82" s="9">
        <v>5</v>
      </c>
      <c r="J82" s="9">
        <v>8</v>
      </c>
      <c r="K82" s="9">
        <v>0</v>
      </c>
      <c r="L82" s="9">
        <v>0</v>
      </c>
      <c r="M82" s="9">
        <v>1</v>
      </c>
      <c r="N82" s="9">
        <v>0</v>
      </c>
      <c r="O82" s="9">
        <v>0.01</v>
      </c>
      <c r="P82" s="9">
        <v>7.0000000000000007E-2</v>
      </c>
      <c r="Q82" s="9">
        <v>1</v>
      </c>
    </row>
    <row r="83" spans="1:17" ht="15.75" x14ac:dyDescent="0.25">
      <c r="A83" s="2"/>
      <c r="B83" s="11" t="s">
        <v>18</v>
      </c>
      <c r="C83" s="9">
        <f t="shared" ref="C83:Q83" si="6">SUM(C80:C82)</f>
        <v>480</v>
      </c>
      <c r="D83" s="9">
        <f t="shared" si="6"/>
        <v>36.605000000000004</v>
      </c>
      <c r="E83" s="9">
        <f t="shared" si="6"/>
        <v>10.115</v>
      </c>
      <c r="F83" s="9">
        <f t="shared" si="6"/>
        <v>64.734999999999999</v>
      </c>
      <c r="G83" s="9">
        <f t="shared" si="6"/>
        <v>484</v>
      </c>
      <c r="H83" s="9">
        <f t="shared" si="6"/>
        <v>47.95</v>
      </c>
      <c r="I83" s="9">
        <f t="shared" si="6"/>
        <v>125.15</v>
      </c>
      <c r="J83" s="9">
        <f t="shared" si="6"/>
        <v>292.5</v>
      </c>
      <c r="K83" s="9">
        <f t="shared" si="6"/>
        <v>28.875</v>
      </c>
      <c r="L83" s="9">
        <f t="shared" si="6"/>
        <v>34.375</v>
      </c>
      <c r="M83" s="9">
        <f t="shared" si="6"/>
        <v>3.86</v>
      </c>
      <c r="N83" s="9">
        <f t="shared" si="6"/>
        <v>0.13300000000000001</v>
      </c>
      <c r="O83" s="9">
        <f t="shared" si="6"/>
        <v>0.11899999999999999</v>
      </c>
      <c r="P83" s="9">
        <f t="shared" si="6"/>
        <v>9.4649999999999999</v>
      </c>
      <c r="Q83" s="9">
        <f t="shared" si="6"/>
        <v>3.5</v>
      </c>
    </row>
    <row r="84" spans="1:17" ht="15.75" x14ac:dyDescent="0.25">
      <c r="A84" s="13"/>
      <c r="B84" s="35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</row>
    <row r="85" spans="1:17" s="14" customFormat="1" ht="15.75" x14ac:dyDescent="0.25">
      <c r="A85" s="39" t="s">
        <v>67</v>
      </c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1:17" x14ac:dyDescent="0.25">
      <c r="A86" s="40" t="s">
        <v>0</v>
      </c>
      <c r="B86" s="40" t="s">
        <v>1</v>
      </c>
      <c r="C86" s="40" t="s">
        <v>2</v>
      </c>
      <c r="D86" s="43" t="s">
        <v>3</v>
      </c>
      <c r="E86" s="44"/>
      <c r="F86" s="45"/>
      <c r="G86" s="40" t="s">
        <v>16</v>
      </c>
      <c r="H86" s="43" t="s">
        <v>7</v>
      </c>
      <c r="I86" s="44"/>
      <c r="J86" s="44"/>
      <c r="K86" s="44"/>
      <c r="L86" s="44"/>
      <c r="M86" s="45"/>
      <c r="N86" s="43" t="s">
        <v>19</v>
      </c>
      <c r="O86" s="44"/>
      <c r="P86" s="44"/>
      <c r="Q86" s="45"/>
    </row>
    <row r="87" spans="1:17" ht="45.75" customHeight="1" x14ac:dyDescent="0.25">
      <c r="A87" s="42"/>
      <c r="B87" s="42"/>
      <c r="C87" s="42"/>
      <c r="D87" s="7" t="s">
        <v>4</v>
      </c>
      <c r="E87" s="8" t="s">
        <v>5</v>
      </c>
      <c r="F87" s="8" t="s">
        <v>6</v>
      </c>
      <c r="G87" s="42"/>
      <c r="H87" s="6" t="s">
        <v>8</v>
      </c>
      <c r="I87" s="6" t="s">
        <v>9</v>
      </c>
      <c r="J87" s="6" t="s">
        <v>10</v>
      </c>
      <c r="K87" s="33" t="s">
        <v>100</v>
      </c>
      <c r="L87" s="33" t="s">
        <v>101</v>
      </c>
      <c r="M87" s="6" t="s">
        <v>11</v>
      </c>
      <c r="N87" s="6" t="s">
        <v>12</v>
      </c>
      <c r="O87" s="6" t="s">
        <v>13</v>
      </c>
      <c r="P87" s="6" t="s">
        <v>14</v>
      </c>
      <c r="Q87" s="6" t="s">
        <v>15</v>
      </c>
    </row>
    <row r="88" spans="1:17" ht="15.75" x14ac:dyDescent="0.25">
      <c r="A88" s="1"/>
      <c r="B88" s="36" t="s">
        <v>17</v>
      </c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8"/>
    </row>
    <row r="89" spans="1:17" ht="31.5" x14ac:dyDescent="0.25">
      <c r="A89" s="3" t="s">
        <v>81</v>
      </c>
      <c r="B89" s="4" t="s">
        <v>68</v>
      </c>
      <c r="C89" s="21">
        <v>250</v>
      </c>
      <c r="D89" s="21">
        <f>14.72*250/200</f>
        <v>18.399999999999999</v>
      </c>
      <c r="E89" s="21">
        <f>21.69*250/200</f>
        <v>27.112500000000001</v>
      </c>
      <c r="F89" s="21">
        <f>6.82*250/200</f>
        <v>8.5250000000000004</v>
      </c>
      <c r="G89" s="21">
        <f>281.2*250/200</f>
        <v>351.5</v>
      </c>
      <c r="H89" s="21">
        <f>146*250/200</f>
        <v>182.5</v>
      </c>
      <c r="I89" s="21">
        <f>36*250/200</f>
        <v>45</v>
      </c>
      <c r="J89" s="21">
        <f>250*250/200</f>
        <v>312.5</v>
      </c>
      <c r="K89" s="21">
        <f>50*250/200</f>
        <v>62.5</v>
      </c>
      <c r="L89" s="21">
        <f>29.1*250/200</f>
        <v>36.375</v>
      </c>
      <c r="M89" s="21">
        <f>3*250/200</f>
        <v>3.75</v>
      </c>
      <c r="N89" s="21">
        <f>0.08*250/200</f>
        <v>0.1</v>
      </c>
      <c r="O89" s="21">
        <f>0.46*250/200</f>
        <v>0.57499999999999996</v>
      </c>
      <c r="P89" s="21">
        <f>0.6*250/200</f>
        <v>0.75</v>
      </c>
      <c r="Q89" s="21">
        <f>1*250/200</f>
        <v>1.25</v>
      </c>
    </row>
    <row r="90" spans="1:17" s="16" customFormat="1" ht="15.75" customHeight="1" x14ac:dyDescent="0.25">
      <c r="A90" s="17" t="s">
        <v>24</v>
      </c>
      <c r="B90" s="6" t="s">
        <v>50</v>
      </c>
      <c r="C90" s="15">
        <v>30</v>
      </c>
      <c r="D90" s="15">
        <v>2.2799999999999998</v>
      </c>
      <c r="E90" s="15">
        <v>0.24</v>
      </c>
      <c r="F90" s="15">
        <v>14.76</v>
      </c>
      <c r="G90" s="15">
        <v>57.9</v>
      </c>
      <c r="H90" s="15">
        <v>5.7</v>
      </c>
      <c r="I90" s="15">
        <v>3.9</v>
      </c>
      <c r="J90" s="15">
        <v>19.5</v>
      </c>
      <c r="K90" s="15">
        <v>0</v>
      </c>
      <c r="L90" s="15">
        <v>0</v>
      </c>
      <c r="M90" s="15">
        <v>0.36</v>
      </c>
      <c r="N90" s="15">
        <v>3.3000000000000002E-2</v>
      </c>
      <c r="O90" s="15">
        <v>8.9999999999999993E-3</v>
      </c>
      <c r="P90" s="15">
        <v>0.27</v>
      </c>
      <c r="Q90" s="15">
        <v>0</v>
      </c>
    </row>
    <row r="91" spans="1:17" s="16" customFormat="1" ht="30" customHeight="1" x14ac:dyDescent="0.25">
      <c r="A91" s="17" t="s">
        <v>74</v>
      </c>
      <c r="B91" s="5" t="s">
        <v>51</v>
      </c>
      <c r="C91" s="15">
        <v>20</v>
      </c>
      <c r="D91" s="15">
        <f>0.1*2</f>
        <v>0.2</v>
      </c>
      <c r="E91" s="15">
        <f>8.3*2</f>
        <v>16.600000000000001</v>
      </c>
      <c r="F91" s="15">
        <f>0.1*2</f>
        <v>0.2</v>
      </c>
      <c r="G91" s="15">
        <f>74.9*2</f>
        <v>149.80000000000001</v>
      </c>
      <c r="H91" s="15">
        <f>2*2</f>
        <v>4</v>
      </c>
      <c r="I91" s="15">
        <v>0</v>
      </c>
      <c r="J91" s="15">
        <v>4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f>0.01*2</f>
        <v>0.02</v>
      </c>
      <c r="Q91" s="15">
        <v>0</v>
      </c>
    </row>
    <row r="92" spans="1:17" ht="33" customHeight="1" x14ac:dyDescent="0.25">
      <c r="A92" s="3" t="s">
        <v>93</v>
      </c>
      <c r="B92" s="5" t="s">
        <v>65</v>
      </c>
      <c r="C92" s="9">
        <v>200</v>
      </c>
      <c r="D92" s="9">
        <v>3.8</v>
      </c>
      <c r="E92" s="9">
        <v>3.5</v>
      </c>
      <c r="F92" s="9">
        <v>11.1</v>
      </c>
      <c r="G92" s="9">
        <v>90.8</v>
      </c>
      <c r="H92" s="9">
        <v>112</v>
      </c>
      <c r="I92" s="9">
        <v>30</v>
      </c>
      <c r="J92" s="9">
        <v>107</v>
      </c>
      <c r="K92" s="9">
        <v>0</v>
      </c>
      <c r="L92" s="9">
        <v>0</v>
      </c>
      <c r="M92" s="9">
        <v>1</v>
      </c>
      <c r="N92" s="9">
        <v>0.02</v>
      </c>
      <c r="O92" s="9">
        <v>0.11</v>
      </c>
      <c r="P92" s="9">
        <v>0.2</v>
      </c>
      <c r="Q92" s="9">
        <v>0</v>
      </c>
    </row>
    <row r="93" spans="1:17" ht="15.75" x14ac:dyDescent="0.25">
      <c r="A93" s="2"/>
      <c r="B93" s="11" t="s">
        <v>18</v>
      </c>
      <c r="C93" s="9">
        <f t="shared" ref="C93:Q93" si="7">SUM(C89:C92)</f>
        <v>500</v>
      </c>
      <c r="D93" s="9">
        <f t="shared" si="7"/>
        <v>24.68</v>
      </c>
      <c r="E93" s="9">
        <f t="shared" si="7"/>
        <v>47.452500000000001</v>
      </c>
      <c r="F93" s="9">
        <f t="shared" si="7"/>
        <v>34.585000000000001</v>
      </c>
      <c r="G93" s="9">
        <f t="shared" si="7"/>
        <v>650</v>
      </c>
      <c r="H93" s="9">
        <f t="shared" si="7"/>
        <v>304.2</v>
      </c>
      <c r="I93" s="9">
        <f t="shared" si="7"/>
        <v>78.900000000000006</v>
      </c>
      <c r="J93" s="9">
        <f t="shared" si="7"/>
        <v>443</v>
      </c>
      <c r="K93" s="9">
        <f t="shared" si="7"/>
        <v>62.5</v>
      </c>
      <c r="L93" s="9">
        <f t="shared" si="7"/>
        <v>36.375</v>
      </c>
      <c r="M93" s="9">
        <f t="shared" si="7"/>
        <v>5.1100000000000003</v>
      </c>
      <c r="N93" s="9">
        <f t="shared" si="7"/>
        <v>0.153</v>
      </c>
      <c r="O93" s="9">
        <f t="shared" si="7"/>
        <v>0.69399999999999995</v>
      </c>
      <c r="P93" s="9">
        <f t="shared" si="7"/>
        <v>1.24</v>
      </c>
      <c r="Q93" s="9">
        <f t="shared" si="7"/>
        <v>1.25</v>
      </c>
    </row>
    <row r="95" spans="1:17" s="14" customFormat="1" ht="15.75" x14ac:dyDescent="0.25">
      <c r="A95" s="39" t="s">
        <v>69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</row>
    <row r="96" spans="1:17" x14ac:dyDescent="0.25">
      <c r="A96" s="40" t="s">
        <v>0</v>
      </c>
      <c r="B96" s="40" t="s">
        <v>1</v>
      </c>
      <c r="C96" s="40" t="s">
        <v>2</v>
      </c>
      <c r="D96" s="43" t="s">
        <v>3</v>
      </c>
      <c r="E96" s="44"/>
      <c r="F96" s="45"/>
      <c r="G96" s="40" t="s">
        <v>16</v>
      </c>
      <c r="H96" s="43" t="s">
        <v>7</v>
      </c>
      <c r="I96" s="44"/>
      <c r="J96" s="44"/>
      <c r="K96" s="44"/>
      <c r="L96" s="44"/>
      <c r="M96" s="45"/>
      <c r="N96" s="43" t="s">
        <v>19</v>
      </c>
      <c r="O96" s="44"/>
      <c r="P96" s="44"/>
      <c r="Q96" s="45"/>
    </row>
    <row r="97" spans="1:17" ht="45.75" customHeight="1" x14ac:dyDescent="0.25">
      <c r="A97" s="42"/>
      <c r="B97" s="42"/>
      <c r="C97" s="42"/>
      <c r="D97" s="7" t="s">
        <v>4</v>
      </c>
      <c r="E97" s="8" t="s">
        <v>5</v>
      </c>
      <c r="F97" s="8" t="s">
        <v>6</v>
      </c>
      <c r="G97" s="42"/>
      <c r="H97" s="6" t="s">
        <v>8</v>
      </c>
      <c r="I97" s="6" t="s">
        <v>9</v>
      </c>
      <c r="J97" s="6" t="s">
        <v>10</v>
      </c>
      <c r="K97" s="33" t="s">
        <v>100</v>
      </c>
      <c r="L97" s="33" t="s">
        <v>101</v>
      </c>
      <c r="M97" s="6" t="s">
        <v>11</v>
      </c>
      <c r="N97" s="6" t="s">
        <v>12</v>
      </c>
      <c r="O97" s="6" t="s">
        <v>13</v>
      </c>
      <c r="P97" s="6" t="s">
        <v>14</v>
      </c>
      <c r="Q97" s="6" t="s">
        <v>15</v>
      </c>
    </row>
    <row r="98" spans="1:17" ht="15.75" x14ac:dyDescent="0.25">
      <c r="A98" s="1"/>
      <c r="B98" s="36" t="s">
        <v>17</v>
      </c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8"/>
    </row>
    <row r="99" spans="1:17" ht="31.5" x14ac:dyDescent="0.25">
      <c r="A99" s="3" t="s">
        <v>77</v>
      </c>
      <c r="B99" s="4" t="s">
        <v>70</v>
      </c>
      <c r="C99" s="21">
        <v>200</v>
      </c>
      <c r="D99" s="21">
        <v>6.6669999999999998</v>
      </c>
      <c r="E99" s="21">
        <v>7.0670000000000002</v>
      </c>
      <c r="F99" s="21">
        <v>46.667000000000002</v>
      </c>
      <c r="G99" s="21">
        <v>277.33300000000003</v>
      </c>
      <c r="H99" s="21">
        <v>78.667000000000002</v>
      </c>
      <c r="I99" s="21">
        <v>9.3330000000000002</v>
      </c>
      <c r="J99" s="21">
        <v>53.332999999999998</v>
      </c>
      <c r="K99" s="21">
        <v>26.667000000000002</v>
      </c>
      <c r="L99" s="21">
        <v>0.13300000000000001</v>
      </c>
      <c r="M99" s="21">
        <v>1.333</v>
      </c>
      <c r="N99" s="21">
        <f>0.06*200/150</f>
        <v>0.08</v>
      </c>
      <c r="O99" s="21">
        <f>0.03*200/150</f>
        <v>0.04</v>
      </c>
      <c r="P99" s="21">
        <f>0.5*200/150</f>
        <v>0.66666666666666663</v>
      </c>
      <c r="Q99" s="21">
        <v>0</v>
      </c>
    </row>
    <row r="100" spans="1:17" ht="33.75" customHeight="1" x14ac:dyDescent="0.25">
      <c r="A100" s="17" t="s">
        <v>96</v>
      </c>
      <c r="B100" s="6" t="s">
        <v>97</v>
      </c>
      <c r="C100" s="10">
        <v>75</v>
      </c>
      <c r="D100" s="9">
        <v>14.1</v>
      </c>
      <c r="E100" s="9">
        <v>11.9</v>
      </c>
      <c r="F100" s="9">
        <v>11.4</v>
      </c>
      <c r="G100" s="9">
        <v>209</v>
      </c>
      <c r="H100" s="9">
        <v>43</v>
      </c>
      <c r="I100" s="9">
        <v>25</v>
      </c>
      <c r="J100" s="9">
        <v>165</v>
      </c>
      <c r="K100" s="9">
        <v>14.2</v>
      </c>
      <c r="L100" s="9">
        <v>2.1</v>
      </c>
      <c r="M100" s="9">
        <v>1</v>
      </c>
      <c r="N100" s="9">
        <v>0.11</v>
      </c>
      <c r="O100" s="9">
        <v>0.14000000000000001</v>
      </c>
      <c r="P100" s="9">
        <v>2.2000000000000002</v>
      </c>
      <c r="Q100" s="9">
        <v>0</v>
      </c>
    </row>
    <row r="101" spans="1:17" s="16" customFormat="1" ht="15.75" customHeight="1" x14ac:dyDescent="0.25">
      <c r="A101" s="17" t="s">
        <v>24</v>
      </c>
      <c r="B101" s="6" t="s">
        <v>50</v>
      </c>
      <c r="C101" s="15">
        <v>30</v>
      </c>
      <c r="D101" s="15">
        <v>2.2799999999999998</v>
      </c>
      <c r="E101" s="15">
        <v>0.24</v>
      </c>
      <c r="F101" s="15">
        <v>14.76</v>
      </c>
      <c r="G101" s="15">
        <v>57.9</v>
      </c>
      <c r="H101" s="15">
        <v>5.7</v>
      </c>
      <c r="I101" s="15">
        <v>3.9</v>
      </c>
      <c r="J101" s="15">
        <v>19.5</v>
      </c>
      <c r="K101" s="15">
        <v>0</v>
      </c>
      <c r="L101" s="15">
        <v>0</v>
      </c>
      <c r="M101" s="15">
        <v>0.36</v>
      </c>
      <c r="N101" s="15">
        <v>3.3000000000000002E-2</v>
      </c>
      <c r="O101" s="15">
        <v>8.9999999999999993E-3</v>
      </c>
      <c r="P101" s="15">
        <v>0.27</v>
      </c>
      <c r="Q101" s="15">
        <v>0</v>
      </c>
    </row>
    <row r="102" spans="1:17" s="16" customFormat="1" ht="45.75" customHeight="1" x14ac:dyDescent="0.25">
      <c r="A102" s="17" t="s">
        <v>90</v>
      </c>
      <c r="B102" s="6" t="s">
        <v>91</v>
      </c>
      <c r="C102" s="15">
        <v>200</v>
      </c>
      <c r="D102" s="15">
        <v>1.5</v>
      </c>
      <c r="E102" s="15">
        <v>1.4</v>
      </c>
      <c r="F102" s="15">
        <v>8.6</v>
      </c>
      <c r="G102" s="15">
        <v>52.9</v>
      </c>
      <c r="H102" s="15">
        <v>57</v>
      </c>
      <c r="I102" s="15">
        <v>10</v>
      </c>
      <c r="J102" s="15">
        <v>47</v>
      </c>
      <c r="K102" s="15">
        <v>4.5</v>
      </c>
      <c r="L102" s="15">
        <v>0.9</v>
      </c>
      <c r="M102" s="15">
        <v>1</v>
      </c>
      <c r="N102" s="15">
        <v>0</v>
      </c>
      <c r="O102" s="15">
        <v>0.06</v>
      </c>
      <c r="P102" s="15">
        <v>0.1</v>
      </c>
      <c r="Q102" s="15">
        <v>0</v>
      </c>
    </row>
    <row r="103" spans="1:17" ht="15.75" x14ac:dyDescent="0.25">
      <c r="A103" s="2"/>
      <c r="B103" s="11" t="s">
        <v>18</v>
      </c>
      <c r="C103" s="9">
        <f t="shared" ref="C103:Q103" si="8">SUM(C99:C102)</f>
        <v>505</v>
      </c>
      <c r="D103" s="9">
        <f t="shared" si="8"/>
        <v>24.547000000000001</v>
      </c>
      <c r="E103" s="9">
        <f t="shared" si="8"/>
        <v>20.606999999999996</v>
      </c>
      <c r="F103" s="9">
        <f t="shared" si="8"/>
        <v>81.426999999999992</v>
      </c>
      <c r="G103" s="9">
        <f t="shared" si="8"/>
        <v>597.13300000000004</v>
      </c>
      <c r="H103" s="9">
        <f t="shared" si="8"/>
        <v>184.36700000000002</v>
      </c>
      <c r="I103" s="9">
        <f t="shared" si="8"/>
        <v>48.232999999999997</v>
      </c>
      <c r="J103" s="9">
        <f t="shared" si="8"/>
        <v>284.83299999999997</v>
      </c>
      <c r="K103" s="9">
        <f t="shared" si="8"/>
        <v>45.367000000000004</v>
      </c>
      <c r="L103" s="9">
        <f t="shared" si="8"/>
        <v>3.133</v>
      </c>
      <c r="M103" s="9">
        <f t="shared" si="8"/>
        <v>3.6930000000000001</v>
      </c>
      <c r="N103" s="9">
        <f t="shared" si="8"/>
        <v>0.223</v>
      </c>
      <c r="O103" s="9">
        <f t="shared" si="8"/>
        <v>0.24900000000000003</v>
      </c>
      <c r="P103" s="9">
        <f t="shared" si="8"/>
        <v>3.2366666666666668</v>
      </c>
      <c r="Q103" s="9">
        <f t="shared" si="8"/>
        <v>0</v>
      </c>
    </row>
    <row r="104" spans="1:17" ht="43.5" x14ac:dyDescent="0.25">
      <c r="A104" s="2"/>
      <c r="B104" s="11" t="s">
        <v>102</v>
      </c>
      <c r="C104" s="34">
        <f t="shared" ref="C104:Q104" si="9">(C9+C20+C31+C42+C53+C63+C74+C83+C93+C103)/10</f>
        <v>499</v>
      </c>
      <c r="D104" s="34">
        <f t="shared" si="9"/>
        <v>24.931938095238095</v>
      </c>
      <c r="E104" s="34">
        <f t="shared" si="9"/>
        <v>24.621700000000001</v>
      </c>
      <c r="F104" s="34">
        <f t="shared" si="9"/>
        <v>61.720795238095242</v>
      </c>
      <c r="G104" s="34">
        <f t="shared" si="9"/>
        <v>555.37978809523815</v>
      </c>
      <c r="H104" s="34">
        <f t="shared" si="9"/>
        <v>267.24253333333337</v>
      </c>
      <c r="I104" s="34">
        <f t="shared" si="9"/>
        <v>82.836157142857132</v>
      </c>
      <c r="J104" s="34">
        <f t="shared" si="9"/>
        <v>350.06365714285715</v>
      </c>
      <c r="K104" s="34">
        <f t="shared" si="9"/>
        <v>67.742866666666671</v>
      </c>
      <c r="L104" s="34">
        <f t="shared" si="9"/>
        <v>20.146430952380953</v>
      </c>
      <c r="M104" s="34">
        <f t="shared" si="9"/>
        <v>3.8538952380952383</v>
      </c>
      <c r="N104" s="34">
        <f t="shared" si="9"/>
        <v>0.21634999999999999</v>
      </c>
      <c r="O104" s="34">
        <f t="shared" si="9"/>
        <v>0.33716547619047621</v>
      </c>
      <c r="P104" s="34">
        <f t="shared" si="9"/>
        <v>2.792845238095238</v>
      </c>
      <c r="Q104" s="34">
        <f t="shared" si="9"/>
        <v>2.1833333333333336</v>
      </c>
    </row>
  </sheetData>
  <mergeCells count="90">
    <mergeCell ref="B98:Q98"/>
    <mergeCell ref="B88:Q88"/>
    <mergeCell ref="A95:Q95"/>
    <mergeCell ref="A96:A97"/>
    <mergeCell ref="B96:B97"/>
    <mergeCell ref="C96:C97"/>
    <mergeCell ref="D96:F96"/>
    <mergeCell ref="G96:G97"/>
    <mergeCell ref="H96:M96"/>
    <mergeCell ref="N96:Q96"/>
    <mergeCell ref="B79:Q79"/>
    <mergeCell ref="A85:Q85"/>
    <mergeCell ref="A86:A87"/>
    <mergeCell ref="B86:B87"/>
    <mergeCell ref="C86:C87"/>
    <mergeCell ref="D86:F86"/>
    <mergeCell ref="G86:G87"/>
    <mergeCell ref="H86:M86"/>
    <mergeCell ref="N86:Q86"/>
    <mergeCell ref="B68:Q68"/>
    <mergeCell ref="A76:Q76"/>
    <mergeCell ref="A77:A78"/>
    <mergeCell ref="B77:B78"/>
    <mergeCell ref="C77:C78"/>
    <mergeCell ref="D77:F77"/>
    <mergeCell ref="G77:G78"/>
    <mergeCell ref="H77:M77"/>
    <mergeCell ref="N77:Q77"/>
    <mergeCell ref="B58:Q58"/>
    <mergeCell ref="A65:Q65"/>
    <mergeCell ref="A66:A67"/>
    <mergeCell ref="B66:B67"/>
    <mergeCell ref="C66:C67"/>
    <mergeCell ref="D66:F66"/>
    <mergeCell ref="G66:G67"/>
    <mergeCell ref="H66:M66"/>
    <mergeCell ref="N66:Q66"/>
    <mergeCell ref="B48:Q48"/>
    <mergeCell ref="A55:Q55"/>
    <mergeCell ref="A56:A57"/>
    <mergeCell ref="B56:B57"/>
    <mergeCell ref="C56:C57"/>
    <mergeCell ref="D56:F56"/>
    <mergeCell ref="G56:G57"/>
    <mergeCell ref="H56:M56"/>
    <mergeCell ref="N56:Q56"/>
    <mergeCell ref="B36:Q36"/>
    <mergeCell ref="A45:Q45"/>
    <mergeCell ref="A46:A47"/>
    <mergeCell ref="B46:B47"/>
    <mergeCell ref="C46:C47"/>
    <mergeCell ref="D46:F46"/>
    <mergeCell ref="G46:G47"/>
    <mergeCell ref="H46:M46"/>
    <mergeCell ref="N46:Q46"/>
    <mergeCell ref="B25:Q25"/>
    <mergeCell ref="A33:Q33"/>
    <mergeCell ref="A34:A35"/>
    <mergeCell ref="B34:B35"/>
    <mergeCell ref="C34:C35"/>
    <mergeCell ref="D34:F34"/>
    <mergeCell ref="G34:G35"/>
    <mergeCell ref="H34:M34"/>
    <mergeCell ref="N34:Q34"/>
    <mergeCell ref="A22:Q22"/>
    <mergeCell ref="A23:A24"/>
    <mergeCell ref="B23:B24"/>
    <mergeCell ref="C23:C24"/>
    <mergeCell ref="D23:F23"/>
    <mergeCell ref="G23:G24"/>
    <mergeCell ref="H23:M23"/>
    <mergeCell ref="N23:Q23"/>
    <mergeCell ref="B14:Q14"/>
    <mergeCell ref="A11:Q11"/>
    <mergeCell ref="A12:A13"/>
    <mergeCell ref="B12:B13"/>
    <mergeCell ref="C12:C13"/>
    <mergeCell ref="D12:F12"/>
    <mergeCell ref="G12:G13"/>
    <mergeCell ref="H12:M12"/>
    <mergeCell ref="N12:Q12"/>
    <mergeCell ref="B4:Q4"/>
    <mergeCell ref="A1:Q1"/>
    <mergeCell ref="A2:A3"/>
    <mergeCell ref="B2:B3"/>
    <mergeCell ref="C2:C3"/>
    <mergeCell ref="D2:F2"/>
    <mergeCell ref="G2:G3"/>
    <mergeCell ref="H2:M2"/>
    <mergeCell ref="N2:Q2"/>
  </mergeCells>
  <pageMargins left="0.23622047244094491" right="0.23622047244094491" top="0.74803149606299213" bottom="0.74803149606299213" header="0.31496062992125984" footer="0.31496062992125984"/>
  <pageSetup paperSize="9" scale="85" orientation="landscape" horizontalDpi="4294967293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A2" workbookViewId="0">
      <selection activeCell="O22" sqref="O22"/>
    </sheetView>
  </sheetViews>
  <sheetFormatPr defaultRowHeight="15" x14ac:dyDescent="0.25"/>
  <cols>
    <col min="1" max="1" width="4" customWidth="1"/>
    <col min="2" max="2" width="29" customWidth="1"/>
    <col min="4" max="4" width="6.5703125" customWidth="1"/>
    <col min="5" max="5" width="6.7109375" customWidth="1"/>
    <col min="6" max="6" width="7.28515625" customWidth="1"/>
    <col min="7" max="7" width="6.5703125" customWidth="1"/>
    <col min="8" max="9" width="7" customWidth="1"/>
    <col min="10" max="10" width="6.42578125" customWidth="1"/>
    <col min="11" max="11" width="7" customWidth="1"/>
    <col min="12" max="12" width="6.7109375" customWidth="1"/>
    <col min="14" max="14" width="10.42578125" customWidth="1"/>
    <col min="15" max="15" width="12.42578125" customWidth="1"/>
  </cols>
  <sheetData>
    <row r="1" spans="1:15" ht="38.25" customHeight="1" x14ac:dyDescent="0.25">
      <c r="A1" s="46" t="s">
        <v>25</v>
      </c>
      <c r="B1" s="46" t="s">
        <v>26</v>
      </c>
      <c r="C1" s="46" t="s">
        <v>27</v>
      </c>
      <c r="D1" s="48" t="s">
        <v>28</v>
      </c>
      <c r="E1" s="49"/>
      <c r="F1" s="49"/>
      <c r="G1" s="49"/>
      <c r="H1" s="49"/>
      <c r="I1" s="49"/>
      <c r="J1" s="49"/>
      <c r="K1" s="49"/>
      <c r="L1" s="49"/>
      <c r="M1" s="50"/>
      <c r="N1" s="46" t="s">
        <v>29</v>
      </c>
      <c r="O1" s="46" t="s">
        <v>30</v>
      </c>
    </row>
    <row r="2" spans="1:15" x14ac:dyDescent="0.25">
      <c r="A2" s="47"/>
      <c r="B2" s="47"/>
      <c r="C2" s="47"/>
      <c r="D2" s="20">
        <v>1</v>
      </c>
      <c r="E2" s="20">
        <v>2</v>
      </c>
      <c r="F2" s="20">
        <v>3</v>
      </c>
      <c r="G2" s="20">
        <v>4</v>
      </c>
      <c r="H2" s="20">
        <v>5</v>
      </c>
      <c r="I2" s="20">
        <v>6</v>
      </c>
      <c r="J2" s="20">
        <v>7</v>
      </c>
      <c r="K2" s="20">
        <v>8</v>
      </c>
      <c r="L2" s="20">
        <v>9</v>
      </c>
      <c r="M2" s="20">
        <v>10</v>
      </c>
      <c r="N2" s="47"/>
      <c r="O2" s="47"/>
    </row>
    <row r="3" spans="1:15" x14ac:dyDescent="0.25">
      <c r="A3" s="22">
        <v>1</v>
      </c>
      <c r="B3" s="23" t="s">
        <v>20</v>
      </c>
      <c r="C3" s="25">
        <v>75</v>
      </c>
      <c r="D3" s="26">
        <f>30</f>
        <v>30</v>
      </c>
      <c r="E3" s="26">
        <f>44.3</f>
        <v>44.3</v>
      </c>
      <c r="F3" s="26">
        <v>30</v>
      </c>
      <c r="G3" s="26">
        <v>30</v>
      </c>
      <c r="H3" s="26">
        <f>30</f>
        <v>30</v>
      </c>
      <c r="I3" s="26">
        <f>30</f>
        <v>30</v>
      </c>
      <c r="J3" s="26">
        <v>30</v>
      </c>
      <c r="K3" s="26">
        <f>30</f>
        <v>30</v>
      </c>
      <c r="L3" s="26">
        <f>30</f>
        <v>30</v>
      </c>
      <c r="M3" s="26">
        <f>14.3+30</f>
        <v>44.3</v>
      </c>
      <c r="N3" s="27">
        <f>SUM(D3:M3)/10</f>
        <v>32.86</v>
      </c>
      <c r="O3" s="28" t="s">
        <v>107</v>
      </c>
    </row>
    <row r="4" spans="1:15" x14ac:dyDescent="0.25">
      <c r="A4" s="22">
        <v>2</v>
      </c>
      <c r="B4" s="23" t="s">
        <v>31</v>
      </c>
      <c r="C4" s="25">
        <v>7</v>
      </c>
      <c r="D4" s="26">
        <v>0</v>
      </c>
      <c r="E4" s="26">
        <f>1.25</f>
        <v>1.25</v>
      </c>
      <c r="F4" s="26">
        <v>0</v>
      </c>
      <c r="G4" s="26">
        <f>2.5+4.4</f>
        <v>6.9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2.5</v>
      </c>
      <c r="N4" s="27">
        <f t="shared" ref="N4:N20" si="0">SUM(D4:M4)/10</f>
        <v>1.0649999999999999</v>
      </c>
      <c r="O4" s="28" t="s">
        <v>108</v>
      </c>
    </row>
    <row r="5" spans="1:15" ht="25.5" x14ac:dyDescent="0.25">
      <c r="A5" s="22">
        <v>3</v>
      </c>
      <c r="B5" s="23" t="s">
        <v>41</v>
      </c>
      <c r="C5" s="25">
        <v>81</v>
      </c>
      <c r="D5" s="26">
        <v>0</v>
      </c>
      <c r="E5" s="26">
        <f>92</f>
        <v>92</v>
      </c>
      <c r="F5" s="26">
        <f>51.19</f>
        <v>51.19</v>
      </c>
      <c r="G5" s="26">
        <v>0</v>
      </c>
      <c r="H5" s="26">
        <f>16.13</f>
        <v>16.13</v>
      </c>
      <c r="I5" s="26">
        <f>54</f>
        <v>54</v>
      </c>
      <c r="J5" s="26">
        <f>53.75</f>
        <v>53.75</v>
      </c>
      <c r="K5" s="26">
        <f>56.63</f>
        <v>56.63</v>
      </c>
      <c r="L5" s="26">
        <v>0</v>
      </c>
      <c r="M5" s="26">
        <f>68</f>
        <v>68</v>
      </c>
      <c r="N5" s="27">
        <f t="shared" si="0"/>
        <v>39.17</v>
      </c>
      <c r="O5" s="28" t="s">
        <v>109</v>
      </c>
    </row>
    <row r="6" spans="1:15" x14ac:dyDescent="0.25">
      <c r="A6" s="22">
        <v>4</v>
      </c>
      <c r="B6" s="23" t="s">
        <v>32</v>
      </c>
      <c r="C6" s="25">
        <v>171</v>
      </c>
      <c r="D6" s="26">
        <v>0</v>
      </c>
      <c r="E6" s="26">
        <v>0</v>
      </c>
      <c r="F6" s="26">
        <v>0</v>
      </c>
      <c r="G6" s="26">
        <f>228.53</f>
        <v>228.53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7">
        <f t="shared" si="0"/>
        <v>22.853000000000002</v>
      </c>
      <c r="O6" s="28" t="s">
        <v>110</v>
      </c>
    </row>
    <row r="7" spans="1:15" x14ac:dyDescent="0.25">
      <c r="A7" s="22">
        <v>5</v>
      </c>
      <c r="B7" s="23" t="s">
        <v>42</v>
      </c>
      <c r="C7" s="25">
        <v>76</v>
      </c>
      <c r="D7" s="26">
        <f>56.3</f>
        <v>56.3</v>
      </c>
      <c r="E7" s="26">
        <v>0</v>
      </c>
      <c r="F7" s="26">
        <v>0</v>
      </c>
      <c r="G7" s="26">
        <f>2.25</f>
        <v>2.25</v>
      </c>
      <c r="H7" s="26">
        <v>0</v>
      </c>
      <c r="I7" s="26">
        <f>20+84.45</f>
        <v>104.45</v>
      </c>
      <c r="J7" s="26">
        <v>0</v>
      </c>
      <c r="K7" s="26">
        <f>16.75+10.5+56.3</f>
        <v>83.55</v>
      </c>
      <c r="L7" s="26">
        <f>80.63+62.3</f>
        <v>142.93</v>
      </c>
      <c r="M7" s="26">
        <f>4.5+2.25</f>
        <v>6.75</v>
      </c>
      <c r="N7" s="27">
        <f t="shared" si="0"/>
        <v>39.623000000000005</v>
      </c>
      <c r="O7" s="28" t="s">
        <v>111</v>
      </c>
    </row>
    <row r="8" spans="1:15" x14ac:dyDescent="0.25">
      <c r="A8" s="22">
        <v>6</v>
      </c>
      <c r="B8" s="23" t="s">
        <v>94</v>
      </c>
      <c r="C8" s="25">
        <v>60</v>
      </c>
      <c r="D8" s="26">
        <v>0</v>
      </c>
      <c r="E8" s="26">
        <v>0</v>
      </c>
      <c r="F8" s="26">
        <v>75</v>
      </c>
      <c r="G8" s="26">
        <v>8</v>
      </c>
      <c r="H8" s="26">
        <v>75</v>
      </c>
      <c r="I8" s="26">
        <v>0</v>
      </c>
      <c r="J8" s="26">
        <v>75</v>
      </c>
      <c r="K8" s="26">
        <v>8</v>
      </c>
      <c r="L8" s="26">
        <v>0</v>
      </c>
      <c r="M8" s="26">
        <v>0</v>
      </c>
      <c r="N8" s="27">
        <f t="shared" si="0"/>
        <v>24.1</v>
      </c>
      <c r="O8" s="28" t="s">
        <v>112</v>
      </c>
    </row>
    <row r="9" spans="1:15" x14ac:dyDescent="0.25">
      <c r="A9" s="22">
        <v>7</v>
      </c>
      <c r="B9" s="23" t="s">
        <v>33</v>
      </c>
      <c r="C9" s="25">
        <v>1</v>
      </c>
      <c r="D9" s="26">
        <f>6.4+6.1</f>
        <v>12.5</v>
      </c>
      <c r="E9" s="26">
        <v>0</v>
      </c>
      <c r="F9" s="26">
        <f>10.44</f>
        <v>10.44</v>
      </c>
      <c r="G9" s="26">
        <v>0</v>
      </c>
      <c r="H9" s="26">
        <v>0</v>
      </c>
      <c r="I9" s="26">
        <f>9.6+9.15</f>
        <v>18.75</v>
      </c>
      <c r="J9" s="26">
        <v>0</v>
      </c>
      <c r="K9" s="26">
        <f>16.1</f>
        <v>16.100000000000001</v>
      </c>
      <c r="L9" s="26">
        <f>7.7</f>
        <v>7.7</v>
      </c>
      <c r="M9" s="26">
        <v>0</v>
      </c>
      <c r="N9" s="27">
        <f t="shared" si="0"/>
        <v>6.5489999999999995</v>
      </c>
      <c r="O9" s="28" t="s">
        <v>113</v>
      </c>
    </row>
    <row r="10" spans="1:15" x14ac:dyDescent="0.25">
      <c r="A10" s="22">
        <v>8</v>
      </c>
      <c r="B10" s="23" t="s">
        <v>43</v>
      </c>
      <c r="C10" s="25">
        <v>127</v>
      </c>
      <c r="D10" s="26">
        <v>0</v>
      </c>
      <c r="E10" s="26">
        <f>72.9</f>
        <v>72.900000000000006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150.75</v>
      </c>
      <c r="L10" s="26">
        <v>0</v>
      </c>
      <c r="M10" s="26">
        <f>72.9</f>
        <v>72.900000000000006</v>
      </c>
      <c r="N10" s="27">
        <f t="shared" si="0"/>
        <v>29.655000000000001</v>
      </c>
      <c r="O10" s="28" t="s">
        <v>114</v>
      </c>
    </row>
    <row r="11" spans="1:15" x14ac:dyDescent="0.25">
      <c r="A11" s="22">
        <v>9</v>
      </c>
      <c r="B11" s="23" t="s">
        <v>34</v>
      </c>
      <c r="C11" s="25">
        <v>51</v>
      </c>
      <c r="D11" s="26">
        <v>0</v>
      </c>
      <c r="E11" s="26">
        <v>0</v>
      </c>
      <c r="F11" s="26">
        <v>0</v>
      </c>
      <c r="G11" s="26">
        <f>93.6</f>
        <v>93.6</v>
      </c>
      <c r="H11" s="26">
        <v>0</v>
      </c>
      <c r="I11" s="26">
        <f>72.3</f>
        <v>72.3</v>
      </c>
      <c r="J11" s="26">
        <v>0</v>
      </c>
      <c r="K11" s="26">
        <v>0</v>
      </c>
      <c r="L11" s="26">
        <v>0</v>
      </c>
      <c r="M11" s="26">
        <v>0</v>
      </c>
      <c r="N11" s="27">
        <f t="shared" si="0"/>
        <v>16.589999999999996</v>
      </c>
      <c r="O11" s="28" t="s">
        <v>98</v>
      </c>
    </row>
    <row r="12" spans="1:15" ht="38.25" x14ac:dyDescent="0.25">
      <c r="A12" s="22">
        <v>10</v>
      </c>
      <c r="B12" s="23" t="s">
        <v>44</v>
      </c>
      <c r="C12" s="25">
        <v>85</v>
      </c>
      <c r="D12" s="26">
        <f>100+100</f>
        <v>200</v>
      </c>
      <c r="E12" s="26">
        <f>17.3</f>
        <v>17.3</v>
      </c>
      <c r="F12" s="26">
        <f>102.38+50</f>
        <v>152.38</v>
      </c>
      <c r="G12" s="26">
        <f>32</f>
        <v>32</v>
      </c>
      <c r="H12" s="26">
        <v>0</v>
      </c>
      <c r="I12" s="26">
        <f>25.6</f>
        <v>25.6</v>
      </c>
      <c r="J12" s="26">
        <f>111.8+130</f>
        <v>241.8</v>
      </c>
      <c r="K12" s="26">
        <v>0</v>
      </c>
      <c r="L12" s="26">
        <f>80.63+100</f>
        <v>180.63</v>
      </c>
      <c r="M12" s="26">
        <f>17.3+50</f>
        <v>67.3</v>
      </c>
      <c r="N12" s="27">
        <f t="shared" si="0"/>
        <v>91.700999999999993</v>
      </c>
      <c r="O12" s="28" t="s">
        <v>115</v>
      </c>
    </row>
    <row r="13" spans="1:15" x14ac:dyDescent="0.25">
      <c r="A13" s="22">
        <v>11</v>
      </c>
      <c r="B13" s="23" t="s">
        <v>35</v>
      </c>
      <c r="C13" s="25">
        <v>10</v>
      </c>
      <c r="D13" s="26">
        <v>0</v>
      </c>
      <c r="E13" s="26">
        <v>0</v>
      </c>
      <c r="F13" s="26">
        <v>0</v>
      </c>
      <c r="G13" s="26">
        <v>0</v>
      </c>
      <c r="H13" s="26">
        <v>232.5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7">
        <f t="shared" si="0"/>
        <v>23.25</v>
      </c>
      <c r="O13" s="28" t="s">
        <v>116</v>
      </c>
    </row>
    <row r="14" spans="1:15" x14ac:dyDescent="0.25">
      <c r="A14" s="22">
        <v>12</v>
      </c>
      <c r="B14" s="23" t="s">
        <v>45</v>
      </c>
      <c r="C14" s="25">
        <v>4.5</v>
      </c>
      <c r="D14" s="26">
        <v>0</v>
      </c>
      <c r="E14" s="26">
        <v>0</v>
      </c>
      <c r="F14" s="26">
        <f>30</f>
        <v>30</v>
      </c>
      <c r="G14" s="26">
        <f>5.7</f>
        <v>5.7</v>
      </c>
      <c r="H14" s="26">
        <v>0</v>
      </c>
      <c r="I14" s="26">
        <v>0</v>
      </c>
      <c r="J14" s="26">
        <f>30</f>
        <v>30</v>
      </c>
      <c r="K14" s="26">
        <v>0</v>
      </c>
      <c r="L14" s="26">
        <v>0</v>
      </c>
      <c r="M14" s="26">
        <v>0</v>
      </c>
      <c r="N14" s="27">
        <f t="shared" si="0"/>
        <v>6.57</v>
      </c>
      <c r="O14" s="28" t="s">
        <v>99</v>
      </c>
    </row>
    <row r="15" spans="1:15" x14ac:dyDescent="0.25">
      <c r="A15" s="22">
        <v>13</v>
      </c>
      <c r="B15" s="23" t="s">
        <v>36</v>
      </c>
      <c r="C15" s="25">
        <v>6</v>
      </c>
      <c r="D15" s="26">
        <v>0</v>
      </c>
      <c r="E15" s="26">
        <f>25</f>
        <v>25</v>
      </c>
      <c r="F15" s="26">
        <v>0</v>
      </c>
      <c r="G15" s="26">
        <f>47</f>
        <v>47</v>
      </c>
      <c r="H15" s="26">
        <f>8.63</f>
        <v>8.6300000000000008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7">
        <f t="shared" si="0"/>
        <v>8.0629999999999988</v>
      </c>
      <c r="O15" s="28" t="s">
        <v>117</v>
      </c>
    </row>
    <row r="16" spans="1:15" x14ac:dyDescent="0.25">
      <c r="A16" s="22">
        <v>14</v>
      </c>
      <c r="B16" s="23" t="s">
        <v>37</v>
      </c>
      <c r="C16" s="25">
        <v>17.5</v>
      </c>
      <c r="D16" s="26">
        <f>8.38+10</f>
        <v>18.380000000000003</v>
      </c>
      <c r="E16" s="26">
        <f>9.07+5.3+1.25</f>
        <v>15.620000000000001</v>
      </c>
      <c r="F16" s="26">
        <f>10.24</f>
        <v>10.24</v>
      </c>
      <c r="G16" s="26">
        <f>9.07+2.5+4.7</f>
        <v>16.27</v>
      </c>
      <c r="H16" s="26">
        <f>8.63+10</f>
        <v>18.630000000000003</v>
      </c>
      <c r="I16" s="26">
        <f>6.8</f>
        <v>6.8</v>
      </c>
      <c r="J16" s="26">
        <f>10.75</f>
        <v>10.75</v>
      </c>
      <c r="K16" s="26">
        <v>0</v>
      </c>
      <c r="L16" s="26">
        <f>16.13+20</f>
        <v>36.129999999999995</v>
      </c>
      <c r="M16" s="26">
        <f>9.07+5.3+1.5</f>
        <v>15.870000000000001</v>
      </c>
      <c r="N16" s="27">
        <f t="shared" si="0"/>
        <v>14.869</v>
      </c>
      <c r="O16" s="28" t="s">
        <v>118</v>
      </c>
    </row>
    <row r="17" spans="1:15" x14ac:dyDescent="0.25">
      <c r="A17" s="22">
        <v>15</v>
      </c>
      <c r="B17" s="23" t="s">
        <v>38</v>
      </c>
      <c r="C17" s="25">
        <v>9.5</v>
      </c>
      <c r="D17" s="26">
        <f>3.6</f>
        <v>3.6</v>
      </c>
      <c r="E17" s="26">
        <v>0</v>
      </c>
      <c r="F17" s="26">
        <v>0</v>
      </c>
      <c r="G17" s="26">
        <f>7.1</f>
        <v>7.1</v>
      </c>
      <c r="H17" s="26">
        <v>0</v>
      </c>
      <c r="I17" s="26">
        <f>5.6+5.4</f>
        <v>11</v>
      </c>
      <c r="J17" s="26">
        <v>0</v>
      </c>
      <c r="K17" s="26">
        <f>8.38</f>
        <v>8.3800000000000008</v>
      </c>
      <c r="L17" s="26">
        <f>3.6</f>
        <v>3.6</v>
      </c>
      <c r="M17" s="26">
        <v>0</v>
      </c>
      <c r="N17" s="27">
        <f t="shared" si="0"/>
        <v>3.3679999999999999</v>
      </c>
      <c r="O17" s="28" t="s">
        <v>119</v>
      </c>
    </row>
    <row r="18" spans="1:15" x14ac:dyDescent="0.25">
      <c r="A18" s="22">
        <v>16</v>
      </c>
      <c r="B18" s="23" t="s">
        <v>46</v>
      </c>
      <c r="C18" s="25">
        <v>12</v>
      </c>
      <c r="D18" s="26">
        <f>110</f>
        <v>110</v>
      </c>
      <c r="E18" s="26">
        <v>0</v>
      </c>
      <c r="F18" s="26">
        <v>0</v>
      </c>
      <c r="G18" s="26">
        <v>0</v>
      </c>
      <c r="H18" s="26">
        <f>7.25</f>
        <v>7.25</v>
      </c>
      <c r="I18" s="26">
        <v>0</v>
      </c>
      <c r="J18" s="26">
        <v>0</v>
      </c>
      <c r="K18" s="26">
        <v>0</v>
      </c>
      <c r="L18" s="26">
        <f>142</f>
        <v>142</v>
      </c>
      <c r="M18" s="26">
        <v>0</v>
      </c>
      <c r="N18" s="27">
        <f t="shared" si="0"/>
        <v>25.925000000000001</v>
      </c>
      <c r="O18" s="28" t="s">
        <v>120</v>
      </c>
    </row>
    <row r="19" spans="1:15" x14ac:dyDescent="0.25">
      <c r="A19" s="22">
        <v>17</v>
      </c>
      <c r="B19" s="23" t="s">
        <v>39</v>
      </c>
      <c r="C19" s="25">
        <v>26</v>
      </c>
      <c r="D19" s="26">
        <f>7</f>
        <v>7</v>
      </c>
      <c r="E19" s="26">
        <v>7</v>
      </c>
      <c r="F19" s="26">
        <f>3.07+7</f>
        <v>10.07</v>
      </c>
      <c r="G19" s="26">
        <v>7</v>
      </c>
      <c r="H19" s="26">
        <f>16.13</f>
        <v>16.13</v>
      </c>
      <c r="I19" s="26">
        <f>7</f>
        <v>7</v>
      </c>
      <c r="J19" s="26">
        <f>3.23+7</f>
        <v>10.23</v>
      </c>
      <c r="K19" s="26">
        <f>1.2+7</f>
        <v>8.1999999999999993</v>
      </c>
      <c r="L19" s="26">
        <v>7</v>
      </c>
      <c r="M19" s="26">
        <f>7+1.25</f>
        <v>8.25</v>
      </c>
      <c r="N19" s="27">
        <f t="shared" si="0"/>
        <v>8.7880000000000003</v>
      </c>
      <c r="O19" s="28" t="s">
        <v>121</v>
      </c>
    </row>
    <row r="20" spans="1:15" x14ac:dyDescent="0.25">
      <c r="A20" s="22">
        <v>18</v>
      </c>
      <c r="B20" s="23" t="s">
        <v>47</v>
      </c>
      <c r="C20" s="25">
        <v>0.8</v>
      </c>
      <c r="D20" s="26">
        <v>5</v>
      </c>
      <c r="E20" s="26">
        <v>1</v>
      </c>
      <c r="F20" s="26">
        <v>1</v>
      </c>
      <c r="G20" s="26">
        <v>1</v>
      </c>
      <c r="H20" s="26">
        <v>1</v>
      </c>
      <c r="I20" s="26">
        <v>1</v>
      </c>
      <c r="J20" s="26">
        <v>5</v>
      </c>
      <c r="K20" s="26">
        <v>1</v>
      </c>
      <c r="L20" s="26">
        <v>5</v>
      </c>
      <c r="M20" s="26">
        <v>1</v>
      </c>
      <c r="N20" s="27">
        <f t="shared" si="0"/>
        <v>2.2000000000000002</v>
      </c>
      <c r="O20" s="28" t="s">
        <v>95</v>
      </c>
    </row>
    <row r="21" spans="1:15" x14ac:dyDescent="0.25">
      <c r="A21" s="22">
        <v>19</v>
      </c>
      <c r="B21" s="23" t="s">
        <v>40</v>
      </c>
      <c r="C21" s="25">
        <v>3</v>
      </c>
      <c r="D21" s="26">
        <f>0.63+0.2</f>
        <v>0.83000000000000007</v>
      </c>
      <c r="E21" s="26">
        <f>0.67+0.2</f>
        <v>0.87000000000000011</v>
      </c>
      <c r="F21" s="26">
        <f>1.02</f>
        <v>1.02</v>
      </c>
      <c r="G21" s="26">
        <f>0.67+0.3</f>
        <v>0.97</v>
      </c>
      <c r="H21" s="26">
        <v>0.63</v>
      </c>
      <c r="I21" s="26">
        <f>0.5+0.2+0.3</f>
        <v>1</v>
      </c>
      <c r="J21" s="26">
        <f>1.08</f>
        <v>1.08</v>
      </c>
      <c r="K21" s="26">
        <f>0.5</f>
        <v>0.5</v>
      </c>
      <c r="L21" s="26">
        <f>0.63</f>
        <v>0.63</v>
      </c>
      <c r="M21" s="26">
        <f>0.67+0.2</f>
        <v>0.87000000000000011</v>
      </c>
      <c r="N21" s="27">
        <f>SUM(D21:M21)/10</f>
        <v>0.84000000000000008</v>
      </c>
      <c r="O21" s="24">
        <v>-72</v>
      </c>
    </row>
  </sheetData>
  <mergeCells count="6">
    <mergeCell ref="O1:O2"/>
    <mergeCell ref="D1:M1"/>
    <mergeCell ref="A1:A2"/>
    <mergeCell ref="B1:B2"/>
    <mergeCell ref="C1:C2"/>
    <mergeCell ref="N1:N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Накопительная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2023-11-23T12:06:27Z</dcterms:modified>
</cp:coreProperties>
</file>