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2"/>
  </bookViews>
  <sheets>
    <sheet name="Меню" sheetId="1" r:id="rId1"/>
    <sheet name="Накопительная" sheetId="8" r:id="rId2"/>
    <sheet name="Лист1" sheetId="9" r:id="rId3"/>
  </sheets>
  <calcPr calcId="144525"/>
</workbook>
</file>

<file path=xl/calcChain.xml><?xml version="1.0" encoding="utf-8"?>
<calcChain xmlns="http://schemas.openxmlformats.org/spreadsheetml/2006/main">
  <c r="D216" i="9" l="1"/>
  <c r="D208" i="9"/>
  <c r="D192" i="9"/>
  <c r="D190" i="9"/>
  <c r="C194" i="9"/>
  <c r="D183" i="9"/>
  <c r="D181" i="9"/>
  <c r="D186" i="9" s="1"/>
  <c r="D170" i="9"/>
  <c r="D173" i="9" s="1"/>
  <c r="D161" i="9"/>
  <c r="D166" i="9" s="1"/>
  <c r="D146" i="9"/>
  <c r="D150" i="9" s="1"/>
  <c r="D143" i="9"/>
  <c r="D132" i="9"/>
  <c r="C132" i="9"/>
  <c r="D124" i="9"/>
  <c r="C124" i="9"/>
  <c r="D109" i="9"/>
  <c r="C109" i="9"/>
  <c r="D99" i="9"/>
  <c r="C99" i="9"/>
  <c r="D87" i="9"/>
  <c r="C87" i="9"/>
  <c r="D79" i="9"/>
  <c r="C79" i="9"/>
  <c r="D63" i="9"/>
  <c r="C63" i="9"/>
  <c r="D54" i="9"/>
  <c r="C54" i="9"/>
  <c r="D40" i="9"/>
  <c r="C40" i="9"/>
  <c r="D32" i="9"/>
  <c r="C32" i="9"/>
  <c r="D17" i="9"/>
  <c r="C17" i="9"/>
  <c r="D10" i="9"/>
  <c r="D194" i="9" l="1"/>
  <c r="C10" i="9" l="1"/>
  <c r="Q404" i="1" l="1"/>
  <c r="M404" i="1"/>
  <c r="L404" i="1"/>
  <c r="K404" i="1"/>
  <c r="J404" i="1"/>
  <c r="I404" i="1"/>
  <c r="H404" i="1"/>
  <c r="G404" i="1"/>
  <c r="F404" i="1"/>
  <c r="E404" i="1"/>
  <c r="D404" i="1"/>
  <c r="C404" i="1"/>
  <c r="P400" i="1"/>
  <c r="P404" i="1" s="1"/>
  <c r="O400" i="1"/>
  <c r="O404" i="1" s="1"/>
  <c r="N400" i="1"/>
  <c r="N404" i="1" s="1"/>
  <c r="O394" i="1"/>
  <c r="K394" i="1"/>
  <c r="G394" i="1"/>
  <c r="C394" i="1"/>
  <c r="Q389" i="1"/>
  <c r="Q394" i="1" s="1"/>
  <c r="P389" i="1"/>
  <c r="P394" i="1" s="1"/>
  <c r="O389" i="1"/>
  <c r="N389" i="1"/>
  <c r="N394" i="1" s="1"/>
  <c r="M389" i="1"/>
  <c r="M394" i="1" s="1"/>
  <c r="L389" i="1"/>
  <c r="L394" i="1" s="1"/>
  <c r="K389" i="1"/>
  <c r="J389" i="1"/>
  <c r="J394" i="1" s="1"/>
  <c r="I389" i="1"/>
  <c r="I394" i="1" s="1"/>
  <c r="H389" i="1"/>
  <c r="H394" i="1" s="1"/>
  <c r="G389" i="1"/>
  <c r="F389" i="1"/>
  <c r="F394" i="1" s="1"/>
  <c r="E389" i="1"/>
  <c r="E394" i="1" s="1"/>
  <c r="D389" i="1"/>
  <c r="D394" i="1" s="1"/>
  <c r="C374" i="1"/>
  <c r="P372" i="1"/>
  <c r="H372" i="1"/>
  <c r="G372" i="1"/>
  <c r="F372" i="1"/>
  <c r="E372" i="1"/>
  <c r="D372" i="1"/>
  <c r="Q370" i="1"/>
  <c r="Q374" i="1" s="1"/>
  <c r="P370" i="1"/>
  <c r="O370" i="1"/>
  <c r="O374" i="1" s="1"/>
  <c r="N370" i="1"/>
  <c r="N374" i="1" s="1"/>
  <c r="M370" i="1"/>
  <c r="M374" i="1" s="1"/>
  <c r="L370" i="1"/>
  <c r="L374" i="1" s="1"/>
  <c r="K370" i="1"/>
  <c r="K374" i="1" s="1"/>
  <c r="J370" i="1"/>
  <c r="J374" i="1" s="1"/>
  <c r="I370" i="1"/>
  <c r="I374" i="1" s="1"/>
  <c r="H370" i="1"/>
  <c r="H374" i="1" s="1"/>
  <c r="G370" i="1"/>
  <c r="G374" i="1" s="1"/>
  <c r="F370" i="1"/>
  <c r="F374" i="1" s="1"/>
  <c r="E370" i="1"/>
  <c r="E374" i="1" s="1"/>
  <c r="D370" i="1"/>
  <c r="D374" i="1" s="1"/>
  <c r="C365" i="1"/>
  <c r="P362" i="1"/>
  <c r="H362" i="1"/>
  <c r="G362" i="1"/>
  <c r="F362" i="1"/>
  <c r="E362" i="1"/>
  <c r="D362" i="1"/>
  <c r="Q360" i="1"/>
  <c r="Q365" i="1" s="1"/>
  <c r="P360" i="1"/>
  <c r="O360" i="1"/>
  <c r="O365" i="1" s="1"/>
  <c r="N360" i="1"/>
  <c r="N365" i="1" s="1"/>
  <c r="M360" i="1"/>
  <c r="M365" i="1" s="1"/>
  <c r="L360" i="1"/>
  <c r="L365" i="1" s="1"/>
  <c r="K360" i="1"/>
  <c r="K365" i="1" s="1"/>
  <c r="J360" i="1"/>
  <c r="J365" i="1" s="1"/>
  <c r="I360" i="1"/>
  <c r="I365" i="1" s="1"/>
  <c r="H360" i="1"/>
  <c r="H365" i="1" s="1"/>
  <c r="G360" i="1"/>
  <c r="G365" i="1" s="1"/>
  <c r="F360" i="1"/>
  <c r="F365" i="1" s="1"/>
  <c r="E360" i="1"/>
  <c r="E365" i="1" s="1"/>
  <c r="D360" i="1"/>
  <c r="D365" i="1" s="1"/>
  <c r="C341" i="1"/>
  <c r="Q338" i="1"/>
  <c r="Q341" i="1" s="1"/>
  <c r="P338" i="1"/>
  <c r="P341" i="1" s="1"/>
  <c r="O338" i="1"/>
  <c r="O341" i="1" s="1"/>
  <c r="N338" i="1"/>
  <c r="N341" i="1" s="1"/>
  <c r="M338" i="1"/>
  <c r="M341" i="1" s="1"/>
  <c r="L338" i="1"/>
  <c r="L341" i="1" s="1"/>
  <c r="K338" i="1"/>
  <c r="K341" i="1" s="1"/>
  <c r="J338" i="1"/>
  <c r="J341" i="1" s="1"/>
  <c r="I338" i="1"/>
  <c r="I341" i="1" s="1"/>
  <c r="H338" i="1"/>
  <c r="H341" i="1" s="1"/>
  <c r="G338" i="1"/>
  <c r="G341" i="1" s="1"/>
  <c r="F338" i="1"/>
  <c r="F341" i="1" s="1"/>
  <c r="E338" i="1"/>
  <c r="E341" i="1" s="1"/>
  <c r="D338" i="1"/>
  <c r="D341" i="1" s="1"/>
  <c r="C332" i="1"/>
  <c r="Q327" i="1"/>
  <c r="Q332" i="1" s="1"/>
  <c r="P327" i="1"/>
  <c r="P332" i="1" s="1"/>
  <c r="O327" i="1"/>
  <c r="O332" i="1" s="1"/>
  <c r="N327" i="1"/>
  <c r="N332" i="1" s="1"/>
  <c r="M327" i="1"/>
  <c r="M332" i="1" s="1"/>
  <c r="L327" i="1"/>
  <c r="L332" i="1" s="1"/>
  <c r="K327" i="1"/>
  <c r="K332" i="1" s="1"/>
  <c r="J327" i="1"/>
  <c r="J332" i="1" s="1"/>
  <c r="I327" i="1"/>
  <c r="I332" i="1" s="1"/>
  <c r="H327" i="1"/>
  <c r="H332" i="1" s="1"/>
  <c r="G327" i="1"/>
  <c r="G332" i="1" s="1"/>
  <c r="F327" i="1"/>
  <c r="F332" i="1" s="1"/>
  <c r="E327" i="1"/>
  <c r="E332" i="1" s="1"/>
  <c r="D327" i="1"/>
  <c r="D332" i="1" s="1"/>
  <c r="Q311" i="1"/>
  <c r="C311" i="1"/>
  <c r="P306" i="1"/>
  <c r="P311" i="1" s="1"/>
  <c r="O306" i="1"/>
  <c r="O311" i="1" s="1"/>
  <c r="N306" i="1"/>
  <c r="N311" i="1" s="1"/>
  <c r="M306" i="1"/>
  <c r="M311" i="1" s="1"/>
  <c r="L306" i="1"/>
  <c r="L311" i="1" s="1"/>
  <c r="K306" i="1"/>
  <c r="K311" i="1" s="1"/>
  <c r="J306" i="1"/>
  <c r="J311" i="1" s="1"/>
  <c r="I306" i="1"/>
  <c r="I311" i="1" s="1"/>
  <c r="H306" i="1"/>
  <c r="H311" i="1" s="1"/>
  <c r="G306" i="1"/>
  <c r="G311" i="1" s="1"/>
  <c r="F306" i="1"/>
  <c r="F311" i="1" s="1"/>
  <c r="E306" i="1"/>
  <c r="E311" i="1" s="1"/>
  <c r="D306" i="1"/>
  <c r="D311" i="1" s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Q244" i="1"/>
  <c r="C244" i="1"/>
  <c r="P240" i="1"/>
  <c r="P244" i="1" s="1"/>
  <c r="O240" i="1"/>
  <c r="O244" i="1" s="1"/>
  <c r="N240" i="1"/>
  <c r="N244" i="1" s="1"/>
  <c r="M240" i="1"/>
  <c r="M244" i="1" s="1"/>
  <c r="L240" i="1"/>
  <c r="L244" i="1" s="1"/>
  <c r="K240" i="1"/>
  <c r="K244" i="1" s="1"/>
  <c r="J240" i="1"/>
  <c r="J244" i="1" s="1"/>
  <c r="I240" i="1"/>
  <c r="I244" i="1" s="1"/>
  <c r="H240" i="1"/>
  <c r="H244" i="1" s="1"/>
  <c r="G240" i="1"/>
  <c r="G244" i="1" s="1"/>
  <c r="F240" i="1"/>
  <c r="F244" i="1" s="1"/>
  <c r="E240" i="1"/>
  <c r="E244" i="1" s="1"/>
  <c r="D240" i="1"/>
  <c r="D244" i="1" s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C222" i="1"/>
  <c r="Q217" i="1"/>
  <c r="Q222" i="1" s="1"/>
  <c r="P217" i="1"/>
  <c r="P222" i="1" s="1"/>
  <c r="O217" i="1"/>
  <c r="O222" i="1" s="1"/>
  <c r="N217" i="1"/>
  <c r="N222" i="1" s="1"/>
  <c r="M217" i="1"/>
  <c r="M222" i="1" s="1"/>
  <c r="L217" i="1"/>
  <c r="L222" i="1" s="1"/>
  <c r="K217" i="1"/>
  <c r="K222" i="1" s="1"/>
  <c r="J217" i="1"/>
  <c r="J222" i="1" s="1"/>
  <c r="I217" i="1"/>
  <c r="I222" i="1" s="1"/>
  <c r="H217" i="1"/>
  <c r="H222" i="1" s="1"/>
  <c r="G217" i="1"/>
  <c r="G222" i="1" s="1"/>
  <c r="F217" i="1"/>
  <c r="F222" i="1" s="1"/>
  <c r="E217" i="1"/>
  <c r="E222" i="1" s="1"/>
  <c r="D217" i="1"/>
  <c r="D222" i="1" s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Q194" i="1"/>
  <c r="C194" i="1"/>
  <c r="P191" i="1"/>
  <c r="P194" i="1" s="1"/>
  <c r="O191" i="1"/>
  <c r="O194" i="1" s="1"/>
  <c r="N191" i="1"/>
  <c r="N194" i="1" s="1"/>
  <c r="M191" i="1"/>
  <c r="M194" i="1" s="1"/>
  <c r="L191" i="1"/>
  <c r="L194" i="1" s="1"/>
  <c r="K191" i="1"/>
  <c r="K194" i="1" s="1"/>
  <c r="J191" i="1"/>
  <c r="J194" i="1" s="1"/>
  <c r="I191" i="1"/>
  <c r="I194" i="1" s="1"/>
  <c r="H191" i="1"/>
  <c r="H194" i="1" s="1"/>
  <c r="G191" i="1"/>
  <c r="G194" i="1" s="1"/>
  <c r="F191" i="1"/>
  <c r="F194" i="1" s="1"/>
  <c r="E191" i="1"/>
  <c r="E194" i="1" s="1"/>
  <c r="D191" i="1"/>
  <c r="D194" i="1" s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P374" i="1" l="1"/>
  <c r="P365" i="1"/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D21" i="8"/>
  <c r="D19" i="8"/>
  <c r="D16" i="8"/>
  <c r="D12" i="8"/>
  <c r="M7" i="8"/>
  <c r="M16" i="8"/>
  <c r="M12" i="8"/>
  <c r="M21" i="8"/>
  <c r="M10" i="8"/>
  <c r="M5" i="8"/>
  <c r="L12" i="8"/>
  <c r="L16" i="8"/>
  <c r="L21" i="8"/>
  <c r="L7" i="8"/>
  <c r="L18" i="8"/>
  <c r="K21" i="8"/>
  <c r="K7" i="8"/>
  <c r="K17" i="8"/>
  <c r="K5" i="8"/>
  <c r="K10" i="8"/>
  <c r="J19" i="8"/>
  <c r="J12" i="8"/>
  <c r="J14" i="8"/>
  <c r="J21" i="8"/>
  <c r="J16" i="8"/>
  <c r="J5" i="8"/>
  <c r="I17" i="8"/>
  <c r="I7" i="8"/>
  <c r="I11" i="8"/>
  <c r="I16" i="8"/>
  <c r="I5" i="8"/>
  <c r="H16" i="8"/>
  <c r="H21" i="8"/>
  <c r="H19" i="8"/>
  <c r="H15" i="8"/>
  <c r="H5" i="8"/>
  <c r="H18" i="8"/>
  <c r="H13" i="8"/>
  <c r="G21" i="8"/>
  <c r="G16" i="8"/>
  <c r="G17" i="8"/>
  <c r="G15" i="8"/>
  <c r="G14" i="8"/>
  <c r="G4" i="8"/>
  <c r="G11" i="8"/>
  <c r="G7" i="8"/>
  <c r="G12" i="8"/>
  <c r="G6" i="8"/>
  <c r="F19" i="8"/>
  <c r="F12" i="8"/>
  <c r="F21" i="8"/>
  <c r="F16" i="8"/>
  <c r="F9" i="8"/>
  <c r="F5" i="8"/>
  <c r="F14" i="8"/>
  <c r="E15" i="8"/>
  <c r="E16" i="8"/>
  <c r="E4" i="8"/>
  <c r="E21" i="8"/>
  <c r="E12" i="8"/>
  <c r="E3" i="8"/>
  <c r="E10" i="8"/>
  <c r="E5" i="8"/>
  <c r="D8" i="8"/>
  <c r="D20" i="8"/>
  <c r="N113" i="1"/>
  <c r="Q98" i="1"/>
  <c r="P98" i="1"/>
  <c r="O98" i="1"/>
  <c r="O103" i="1" s="1"/>
  <c r="N98" i="1"/>
  <c r="M98" i="1"/>
  <c r="M103" i="1" s="1"/>
  <c r="L98" i="1"/>
  <c r="K98" i="1"/>
  <c r="K103" i="1" s="1"/>
  <c r="J98" i="1"/>
  <c r="I98" i="1"/>
  <c r="I103" i="1" s="1"/>
  <c r="H98" i="1"/>
  <c r="G98" i="1"/>
  <c r="F98" i="1"/>
  <c r="E98" i="1"/>
  <c r="D98" i="1"/>
  <c r="P100" i="1"/>
  <c r="H100" i="1"/>
  <c r="G100" i="1"/>
  <c r="F100" i="1"/>
  <c r="E100" i="1"/>
  <c r="E103" i="1" s="1"/>
  <c r="D100" i="1"/>
  <c r="D103" i="1" s="1"/>
  <c r="Q86" i="1"/>
  <c r="Q91" i="1" s="1"/>
  <c r="P86" i="1"/>
  <c r="P91" i="1" s="1"/>
  <c r="O86" i="1"/>
  <c r="O91" i="1" s="1"/>
  <c r="N86" i="1"/>
  <c r="N91" i="1" s="1"/>
  <c r="M86" i="1"/>
  <c r="M91" i="1" s="1"/>
  <c r="L86" i="1"/>
  <c r="K86" i="1"/>
  <c r="K91" i="1" s="1"/>
  <c r="J86" i="1"/>
  <c r="I86" i="1"/>
  <c r="I91" i="1" s="1"/>
  <c r="H86" i="1"/>
  <c r="G86" i="1"/>
  <c r="G91" i="1" s="1"/>
  <c r="F86" i="1"/>
  <c r="E86" i="1"/>
  <c r="E91" i="1" s="1"/>
  <c r="D86" i="1"/>
  <c r="C10" i="1"/>
  <c r="C33" i="1"/>
  <c r="C45" i="1"/>
  <c r="C56" i="1"/>
  <c r="C68" i="1"/>
  <c r="C80" i="1"/>
  <c r="C91" i="1"/>
  <c r="C103" i="1"/>
  <c r="C113" i="1"/>
  <c r="K113" i="1"/>
  <c r="L113" i="1"/>
  <c r="L103" i="1"/>
  <c r="L91" i="1"/>
  <c r="K80" i="1"/>
  <c r="L80" i="1"/>
  <c r="K68" i="1"/>
  <c r="L68" i="1"/>
  <c r="K56" i="1"/>
  <c r="L56" i="1"/>
  <c r="K45" i="1"/>
  <c r="L45" i="1"/>
  <c r="K33" i="1"/>
  <c r="L33" i="1"/>
  <c r="L10" i="1"/>
  <c r="K10" i="1"/>
  <c r="N8" i="8"/>
  <c r="E10" i="1"/>
  <c r="F10" i="1"/>
  <c r="G10" i="1"/>
  <c r="H10" i="1"/>
  <c r="I10" i="1"/>
  <c r="J10" i="1"/>
  <c r="M10" i="1"/>
  <c r="N10" i="1"/>
  <c r="O10" i="1"/>
  <c r="P10" i="1"/>
  <c r="Q10" i="1"/>
  <c r="D10" i="1"/>
  <c r="E33" i="1"/>
  <c r="F33" i="1"/>
  <c r="G33" i="1"/>
  <c r="H33" i="1"/>
  <c r="I33" i="1"/>
  <c r="J33" i="1"/>
  <c r="M33" i="1"/>
  <c r="N33" i="1"/>
  <c r="O33" i="1"/>
  <c r="P33" i="1"/>
  <c r="Q33" i="1"/>
  <c r="D33" i="1"/>
  <c r="E45" i="1"/>
  <c r="F45" i="1"/>
  <c r="G45" i="1"/>
  <c r="H45" i="1"/>
  <c r="I45" i="1"/>
  <c r="J45" i="1"/>
  <c r="M45" i="1"/>
  <c r="N45" i="1"/>
  <c r="O45" i="1"/>
  <c r="P45" i="1"/>
  <c r="Q45" i="1"/>
  <c r="D45" i="1"/>
  <c r="E56" i="1"/>
  <c r="F56" i="1"/>
  <c r="G56" i="1"/>
  <c r="H56" i="1"/>
  <c r="I56" i="1"/>
  <c r="J56" i="1"/>
  <c r="M56" i="1"/>
  <c r="N56" i="1"/>
  <c r="O56" i="1"/>
  <c r="P56" i="1"/>
  <c r="Q56" i="1"/>
  <c r="D56" i="1"/>
  <c r="E68" i="1"/>
  <c r="F68" i="1"/>
  <c r="G68" i="1"/>
  <c r="H68" i="1"/>
  <c r="I68" i="1"/>
  <c r="J68" i="1"/>
  <c r="M68" i="1"/>
  <c r="N68" i="1"/>
  <c r="O68" i="1"/>
  <c r="P68" i="1"/>
  <c r="Q68" i="1"/>
  <c r="D68" i="1"/>
  <c r="E80" i="1"/>
  <c r="F80" i="1"/>
  <c r="G80" i="1"/>
  <c r="H80" i="1"/>
  <c r="I80" i="1"/>
  <c r="J80" i="1"/>
  <c r="M80" i="1"/>
  <c r="N80" i="1"/>
  <c r="O80" i="1"/>
  <c r="P80" i="1"/>
  <c r="Q80" i="1"/>
  <c r="D80" i="1"/>
  <c r="F91" i="1"/>
  <c r="H91" i="1"/>
  <c r="J91" i="1"/>
  <c r="D91" i="1"/>
  <c r="F103" i="1"/>
  <c r="H103" i="1"/>
  <c r="J103" i="1"/>
  <c r="N103" i="1"/>
  <c r="Q103" i="1"/>
  <c r="E113" i="1"/>
  <c r="F113" i="1"/>
  <c r="G113" i="1"/>
  <c r="H113" i="1"/>
  <c r="I113" i="1"/>
  <c r="J113" i="1"/>
  <c r="M113" i="1"/>
  <c r="O113" i="1"/>
  <c r="P113" i="1"/>
  <c r="Q113" i="1"/>
  <c r="D113" i="1"/>
  <c r="G103" i="1" l="1"/>
  <c r="P103" i="1"/>
  <c r="D114" i="1"/>
  <c r="P114" i="1"/>
  <c r="N114" i="1"/>
  <c r="J114" i="1"/>
  <c r="H114" i="1"/>
  <c r="F114" i="1"/>
  <c r="L114" i="1"/>
  <c r="Q114" i="1"/>
  <c r="O114" i="1"/>
  <c r="M114" i="1"/>
  <c r="I114" i="1"/>
  <c r="G114" i="1"/>
  <c r="E114" i="1"/>
  <c r="K114" i="1"/>
  <c r="C114" i="1"/>
  <c r="N4" i="8"/>
  <c r="N5" i="8"/>
  <c r="N6" i="8"/>
  <c r="N7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3" i="8"/>
</calcChain>
</file>

<file path=xl/sharedStrings.xml><?xml version="1.0" encoding="utf-8"?>
<sst xmlns="http://schemas.openxmlformats.org/spreadsheetml/2006/main" count="1238" uniqueCount="163">
  <si>
    <t>№ рецептуры</t>
  </si>
  <si>
    <t>Прием пищи. Наименование блюда</t>
  </si>
  <si>
    <t>Масса порции</t>
  </si>
  <si>
    <t>Пищевые ценности</t>
  </si>
  <si>
    <t>белки</t>
  </si>
  <si>
    <t>жиры</t>
  </si>
  <si>
    <t>углеводы</t>
  </si>
  <si>
    <t>Минеральные вещества (мг)</t>
  </si>
  <si>
    <t>Ca</t>
  </si>
  <si>
    <t>Mg</t>
  </si>
  <si>
    <t>P</t>
  </si>
  <si>
    <t>Fe</t>
  </si>
  <si>
    <t>B1</t>
  </si>
  <si>
    <t>B2</t>
  </si>
  <si>
    <t>PP</t>
  </si>
  <si>
    <t>C</t>
  </si>
  <si>
    <t>Энергетическая ценность (ккал)</t>
  </si>
  <si>
    <t>Завтрак</t>
  </si>
  <si>
    <t>Итого</t>
  </si>
  <si>
    <t>Витамины (мг)</t>
  </si>
  <si>
    <t>Хлеб пшеничный</t>
  </si>
  <si>
    <t>Какао с молоком</t>
  </si>
  <si>
    <t>Каша гречневая рассыпчатая</t>
  </si>
  <si>
    <t>Запеканка из творога</t>
  </si>
  <si>
    <t>Пр/пр</t>
  </si>
  <si>
    <t>№ п/п</t>
  </si>
  <si>
    <t>Наименование группы продуктов</t>
  </si>
  <si>
    <t>Норма продукта в граммах</t>
  </si>
  <si>
    <t>Фактически выдано продуктов в нетто по дням в качестве горячих завтраков (всего), г на одного человека</t>
  </si>
  <si>
    <t>В среднем за 10 дней</t>
  </si>
  <si>
    <t>Отклонение от нормы % (+/-)</t>
  </si>
  <si>
    <t>Мука пшеничная</t>
  </si>
  <si>
    <t>Картофель</t>
  </si>
  <si>
    <t>Фрукты (плоды) сухие</t>
  </si>
  <si>
    <t>Рыба филе</t>
  </si>
  <si>
    <t>Творог</t>
  </si>
  <si>
    <t>Сметана</t>
  </si>
  <si>
    <t>Масло сливочное</t>
  </si>
  <si>
    <t>Масло растительное</t>
  </si>
  <si>
    <t>Сахар</t>
  </si>
  <si>
    <t>Соль</t>
  </si>
  <si>
    <t>Крупы бобовые, макаронные изделия</t>
  </si>
  <si>
    <t>Овощи</t>
  </si>
  <si>
    <t>Мясо и мясные продукты</t>
  </si>
  <si>
    <t>Молоко пастеризов. (массовая доля жира 3,2%) и кисломолочные продукты</t>
  </si>
  <si>
    <t>Сыр</t>
  </si>
  <si>
    <t>Яйца</t>
  </si>
  <si>
    <t>Чай, какао, кофейный напиток</t>
  </si>
  <si>
    <t xml:space="preserve">День первый - понедельник </t>
  </si>
  <si>
    <t>День второй - вторник</t>
  </si>
  <si>
    <t>Хлеб в ассортименте</t>
  </si>
  <si>
    <t>Масло сливочное (порциями)</t>
  </si>
  <si>
    <t>Соус сметанный</t>
  </si>
  <si>
    <t>Чай чёрный байховый с сахаром</t>
  </si>
  <si>
    <t>День третий - среда</t>
  </si>
  <si>
    <t>Сыр твёрдых сортов в нарезке</t>
  </si>
  <si>
    <t>Каша вязкая молочная овсяная с изюмом</t>
  </si>
  <si>
    <t>День четвёртый - четверг</t>
  </si>
  <si>
    <t>Картофельное пюре</t>
  </si>
  <si>
    <t>Соус белый основной</t>
  </si>
  <si>
    <t>День пятый - пятница</t>
  </si>
  <si>
    <t>День шестой - понедельник</t>
  </si>
  <si>
    <t>Рис отварной</t>
  </si>
  <si>
    <t>День седьмой - вторник</t>
  </si>
  <si>
    <t>Каша вязкая молочная пшённая</t>
  </si>
  <si>
    <t>Кофейный напиток с молоком</t>
  </si>
  <si>
    <t>День восьмой - среда</t>
  </si>
  <si>
    <t>Повидло</t>
  </si>
  <si>
    <t>День девятый - четверг</t>
  </si>
  <si>
    <t>Омлет с морковью</t>
  </si>
  <si>
    <t>День десятый - пятница</t>
  </si>
  <si>
    <t>Макароны отварные</t>
  </si>
  <si>
    <t>Плов с курицей</t>
  </si>
  <si>
    <t>54-12м-2020</t>
  </si>
  <si>
    <t>54-1з-2020</t>
  </si>
  <si>
    <t>53-19з-2020</t>
  </si>
  <si>
    <t>54-6к-2020</t>
  </si>
  <si>
    <t>54-10к-2020</t>
  </si>
  <si>
    <t>54-1г-2020</t>
  </si>
  <si>
    <t>54-4г-2020</t>
  </si>
  <si>
    <t>54-6г-2020</t>
  </si>
  <si>
    <t>54-11г-2020</t>
  </si>
  <si>
    <t>54-3о-2020</t>
  </si>
  <si>
    <t>54-1т-2020</t>
  </si>
  <si>
    <t>54-2соус-2020</t>
  </si>
  <si>
    <t>54-1соус-2020</t>
  </si>
  <si>
    <t>54-1гн-2020</t>
  </si>
  <si>
    <t>Чай чёрный байховый без сахара</t>
  </si>
  <si>
    <t>54-2гн-2020</t>
  </si>
  <si>
    <t>54-3гн-2020</t>
  </si>
  <si>
    <t>Чай чёрный байховый с лимоном и сахаром</t>
  </si>
  <si>
    <t>54-6гн-2020</t>
  </si>
  <si>
    <t>Чай чёрный байховый с молоком и сахаром</t>
  </si>
  <si>
    <t>54-7гн-2020</t>
  </si>
  <si>
    <t>54-9гн-2020</t>
  </si>
  <si>
    <t>-89,98</t>
  </si>
  <si>
    <t>+2</t>
  </si>
  <si>
    <t>+86</t>
  </si>
  <si>
    <t>Фрукты (плоды) свежие</t>
  </si>
  <si>
    <t>+175</t>
  </si>
  <si>
    <t>54-4м-2020</t>
  </si>
  <si>
    <t>Котлета из фарша говядины</t>
  </si>
  <si>
    <t>-67,47</t>
  </si>
  <si>
    <t>+46</t>
  </si>
  <si>
    <t xml:space="preserve">Яблоко * </t>
  </si>
  <si>
    <t xml:space="preserve">Мандарин * </t>
  </si>
  <si>
    <t xml:space="preserve">Банан * </t>
  </si>
  <si>
    <t>I</t>
  </si>
  <si>
    <t>Se</t>
  </si>
  <si>
    <t>Средние показатели за период</t>
  </si>
  <si>
    <t>54-9р-2020</t>
  </si>
  <si>
    <t>Рыба, запеченная в сметанном соусе (минтай)</t>
  </si>
  <si>
    <t>54-7р-2020</t>
  </si>
  <si>
    <t>Рыба, припущенная в молоке (минтай)</t>
  </si>
  <si>
    <t>-75,36</t>
  </si>
  <si>
    <t>-84,71</t>
  </si>
  <si>
    <t>-78,62</t>
  </si>
  <si>
    <t>-14</t>
  </si>
  <si>
    <t>-76,65</t>
  </si>
  <si>
    <t>+31,5</t>
  </si>
  <si>
    <t>-77,79</t>
  </si>
  <si>
    <t>54-19к-2020</t>
  </si>
  <si>
    <t xml:space="preserve">Суп молочный с макаронными изделиями </t>
  </si>
  <si>
    <t>-67,38</t>
  </si>
  <si>
    <t>+23,17</t>
  </si>
  <si>
    <t>-24,11</t>
  </si>
  <si>
    <t>+7,43</t>
  </si>
  <si>
    <t>-58,09</t>
  </si>
  <si>
    <t>54-13з-2020</t>
  </si>
  <si>
    <t>Салат из свеклы отварной</t>
  </si>
  <si>
    <t>54-11з-2020</t>
  </si>
  <si>
    <t>Салат из моркови и яблок</t>
  </si>
  <si>
    <t>Суп молочный с макаронными изделиями</t>
  </si>
  <si>
    <t>Завтрак №1</t>
  </si>
  <si>
    <t xml:space="preserve">Завтрак №2 </t>
  </si>
  <si>
    <t>УТВЕРЖДАЮ</t>
  </si>
  <si>
    <t>Директор школы:</t>
  </si>
  <si>
    <t>"______"_____________ 2023 год</t>
  </si>
  <si>
    <t>ПЕРВЫЙ ДЕНЬ</t>
  </si>
  <si>
    <t>___________ Луговик А.М.</t>
  </si>
  <si>
    <t>ВТОРОЙ  ДЕНЬ</t>
  </si>
  <si>
    <t>Завтрак № 2</t>
  </si>
  <si>
    <t>Завтрак № 1</t>
  </si>
  <si>
    <t>ТРЕТИЙ  ДЕНЬ</t>
  </si>
  <si>
    <t>ЧЕТВЁРТЫЙ  ДЕНЬ</t>
  </si>
  <si>
    <t>ПЯТЫЙ  ДЕНЬ</t>
  </si>
  <si>
    <t xml:space="preserve">Завтрак № 1 </t>
  </si>
  <si>
    <t>Завтрак №2</t>
  </si>
  <si>
    <t>ШЕСТОЙ  ДЕНЬ</t>
  </si>
  <si>
    <t>СЕДЬМОЙ  ДЕНЬ</t>
  </si>
  <si>
    <t xml:space="preserve">Завтрак №1 </t>
  </si>
  <si>
    <t>ВОСЬМОЙ  ДЕНЬ</t>
  </si>
  <si>
    <t>ДЕВЯТЫЙ  ДЕНЬ</t>
  </si>
  <si>
    <t>ДЕСЯТЫЙ  ДЕНЬ</t>
  </si>
  <si>
    <t>День второй</t>
  </si>
  <si>
    <t>День третий</t>
  </si>
  <si>
    <t>День четвёртый</t>
  </si>
  <si>
    <t>День пятый</t>
  </si>
  <si>
    <t>День шестой</t>
  </si>
  <si>
    <t>День седьмой</t>
  </si>
  <si>
    <t>День восьмой</t>
  </si>
  <si>
    <t>День девятый</t>
  </si>
  <si>
    <r>
      <rPr>
        <b/>
        <sz val="20"/>
        <color rgb="FFFF0000"/>
        <rFont val="Times New Roman"/>
        <family val="1"/>
        <charset val="204"/>
      </rPr>
      <t xml:space="preserve">День первый </t>
    </r>
    <r>
      <rPr>
        <b/>
        <sz val="2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</si>
</sst>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b/>
      <sz val="20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1" fillId="0" borderId="0" xfId="0" applyFont="1"/>
    <xf numFmtId="0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0" applyFont="1" applyBorder="1" applyAlignment="1"/>
    <xf numFmtId="2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0" xfId="0" applyFont="1"/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4" xfId="0" applyBorder="1"/>
    <xf numFmtId="0" fontId="5" fillId="0" borderId="0" xfId="0" applyFont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/>
    </xf>
    <xf numFmtId="2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wrapText="1"/>
    </xf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1" xfId="0" applyNumberFormat="1" applyFont="1" applyBorder="1" applyAlignment="1">
      <alignment horizontal="right" wrapText="1"/>
    </xf>
    <xf numFmtId="0" fontId="13" fillId="0" borderId="0" xfId="0" applyFont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vertical="top"/>
    </xf>
    <xf numFmtId="0" fontId="13" fillId="2" borderId="1" xfId="0" applyFont="1" applyFill="1" applyBorder="1"/>
    <xf numFmtId="0" fontId="9" fillId="2" borderId="8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showWhiteSpace="0" view="pageLayout" topLeftCell="A100" zoomScale="75" zoomScaleNormal="100" zoomScalePageLayoutView="75" workbookViewId="0">
      <selection activeCell="C114" sqref="C114"/>
    </sheetView>
  </sheetViews>
  <sheetFormatPr defaultRowHeight="15" x14ac:dyDescent="0.25"/>
  <cols>
    <col min="1" max="1" width="10.42578125" customWidth="1"/>
    <col min="2" max="2" width="20" customWidth="1"/>
    <col min="3" max="3" width="8" customWidth="1"/>
    <col min="4" max="4" width="9.140625" customWidth="1"/>
    <col min="5" max="5" width="8.140625" customWidth="1"/>
    <col min="6" max="6" width="9.28515625" customWidth="1"/>
    <col min="7" max="7" width="9.140625" customWidth="1"/>
    <col min="8" max="8" width="8" customWidth="1"/>
    <col min="9" max="9" width="9" customWidth="1"/>
    <col min="10" max="12" width="9.85546875" customWidth="1"/>
    <col min="13" max="13" width="8.7109375" customWidth="1"/>
    <col min="14" max="14" width="7.85546875" customWidth="1"/>
    <col min="15" max="15" width="9.140625" customWidth="1"/>
    <col min="16" max="16" width="6.85546875" customWidth="1"/>
    <col min="17" max="17" width="8.28515625" customWidth="1"/>
  </cols>
  <sheetData>
    <row r="1" spans="1:17" s="14" customFormat="1" ht="18.75" customHeight="1" x14ac:dyDescent="0.2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5" customHeight="1" x14ac:dyDescent="0.25">
      <c r="A2" s="45" t="s">
        <v>0</v>
      </c>
      <c r="B2" s="45" t="s">
        <v>1</v>
      </c>
      <c r="C2" s="45" t="s">
        <v>2</v>
      </c>
      <c r="D2" s="42" t="s">
        <v>3</v>
      </c>
      <c r="E2" s="43"/>
      <c r="F2" s="44"/>
      <c r="G2" s="45" t="s">
        <v>16</v>
      </c>
      <c r="H2" s="42" t="s">
        <v>7</v>
      </c>
      <c r="I2" s="43"/>
      <c r="J2" s="43"/>
      <c r="K2" s="43"/>
      <c r="L2" s="43"/>
      <c r="M2" s="44"/>
      <c r="N2" s="42" t="s">
        <v>19</v>
      </c>
      <c r="O2" s="43"/>
      <c r="P2" s="43"/>
      <c r="Q2" s="44"/>
    </row>
    <row r="3" spans="1:17" ht="46.5" customHeight="1" x14ac:dyDescent="0.25">
      <c r="A3" s="55"/>
      <c r="B3" s="46"/>
      <c r="C3" s="46"/>
      <c r="D3" s="7" t="s">
        <v>4</v>
      </c>
      <c r="E3" s="8" t="s">
        <v>5</v>
      </c>
      <c r="F3" s="8" t="s">
        <v>6</v>
      </c>
      <c r="G3" s="46"/>
      <c r="H3" s="6" t="s">
        <v>8</v>
      </c>
      <c r="I3" s="6" t="s">
        <v>9</v>
      </c>
      <c r="J3" s="6" t="s">
        <v>10</v>
      </c>
      <c r="K3" s="33" t="s">
        <v>107</v>
      </c>
      <c r="L3" s="33" t="s">
        <v>108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</row>
    <row r="4" spans="1:17" ht="18" customHeight="1" x14ac:dyDescent="0.25">
      <c r="A4" s="1"/>
      <c r="B4" s="47" t="s">
        <v>17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s="16" customFormat="1" ht="48" customHeight="1" x14ac:dyDescent="0.25">
      <c r="A5" s="17" t="s">
        <v>121</v>
      </c>
      <c r="B5" s="6" t="s">
        <v>122</v>
      </c>
      <c r="C5" s="15">
        <v>200</v>
      </c>
      <c r="D5" s="15">
        <v>5.26</v>
      </c>
      <c r="E5" s="15">
        <v>5.52</v>
      </c>
      <c r="F5" s="15">
        <v>18.399999999999999</v>
      </c>
      <c r="G5" s="15">
        <v>144.38</v>
      </c>
      <c r="H5" s="15">
        <v>167.6</v>
      </c>
      <c r="I5" s="15">
        <v>19.399999999999999</v>
      </c>
      <c r="J5" s="15">
        <v>123.4</v>
      </c>
      <c r="K5" s="15">
        <v>20.6</v>
      </c>
      <c r="L5" s="15">
        <v>2.4</v>
      </c>
      <c r="M5" s="15">
        <v>0.4</v>
      </c>
      <c r="N5" s="15">
        <v>0.05</v>
      </c>
      <c r="O5" s="15">
        <v>0.156</v>
      </c>
      <c r="P5" s="15">
        <v>0.26</v>
      </c>
      <c r="Q5" s="15">
        <v>0.6</v>
      </c>
    </row>
    <row r="6" spans="1:17" s="16" customFormat="1" ht="15.75" customHeight="1" x14ac:dyDescent="0.25">
      <c r="A6" s="17" t="s">
        <v>24</v>
      </c>
      <c r="B6" s="6" t="s">
        <v>50</v>
      </c>
      <c r="C6" s="15">
        <v>30</v>
      </c>
      <c r="D6" s="15">
        <v>2.2799999999999998</v>
      </c>
      <c r="E6" s="15">
        <v>0.24</v>
      </c>
      <c r="F6" s="15">
        <v>14.76</v>
      </c>
      <c r="G6" s="15">
        <v>57.9</v>
      </c>
      <c r="H6" s="15">
        <v>5.7</v>
      </c>
      <c r="I6" s="15">
        <v>3.9</v>
      </c>
      <c r="J6" s="15">
        <v>19.5</v>
      </c>
      <c r="K6" s="15">
        <v>0</v>
      </c>
      <c r="L6" s="15">
        <v>0</v>
      </c>
      <c r="M6" s="15">
        <v>0.36</v>
      </c>
      <c r="N6" s="15">
        <v>3.3000000000000002E-2</v>
      </c>
      <c r="O6" s="15">
        <v>8.9999999999999993E-3</v>
      </c>
      <c r="P6" s="15">
        <v>0.27</v>
      </c>
      <c r="Q6" s="15">
        <v>0</v>
      </c>
    </row>
    <row r="7" spans="1:17" s="16" customFormat="1" ht="30" customHeight="1" x14ac:dyDescent="0.25">
      <c r="A7" s="17" t="s">
        <v>75</v>
      </c>
      <c r="B7" s="5" t="s">
        <v>51</v>
      </c>
      <c r="C7" s="15">
        <v>10</v>
      </c>
      <c r="D7" s="15">
        <v>0.1</v>
      </c>
      <c r="E7" s="15">
        <v>8.3000000000000007</v>
      </c>
      <c r="F7" s="15">
        <v>0.1</v>
      </c>
      <c r="G7" s="15">
        <v>74.900000000000006</v>
      </c>
      <c r="H7" s="15">
        <v>2</v>
      </c>
      <c r="I7" s="15">
        <v>0</v>
      </c>
      <c r="J7" s="15">
        <v>2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0.01</v>
      </c>
      <c r="Q7" s="15">
        <v>0</v>
      </c>
    </row>
    <row r="8" spans="1:17" ht="33" customHeight="1" x14ac:dyDescent="0.25">
      <c r="A8" s="3" t="s">
        <v>94</v>
      </c>
      <c r="B8" s="5" t="s">
        <v>65</v>
      </c>
      <c r="C8" s="9">
        <v>200</v>
      </c>
      <c r="D8" s="9">
        <v>3.8</v>
      </c>
      <c r="E8" s="9">
        <v>3.5</v>
      </c>
      <c r="F8" s="9">
        <v>11.1</v>
      </c>
      <c r="G8" s="9">
        <v>90.8</v>
      </c>
      <c r="H8" s="9">
        <v>112</v>
      </c>
      <c r="I8" s="9">
        <v>30</v>
      </c>
      <c r="J8" s="9">
        <v>107</v>
      </c>
      <c r="K8" s="9">
        <v>9</v>
      </c>
      <c r="L8" s="9">
        <v>1.8</v>
      </c>
      <c r="M8" s="9">
        <v>1</v>
      </c>
      <c r="N8" s="9">
        <v>0.02</v>
      </c>
      <c r="O8" s="9">
        <v>0.11</v>
      </c>
      <c r="P8" s="9">
        <v>0.2</v>
      </c>
      <c r="Q8" s="9">
        <v>0</v>
      </c>
    </row>
    <row r="9" spans="1:17" s="16" customFormat="1" ht="18.75" customHeight="1" x14ac:dyDescent="0.25">
      <c r="A9" s="32" t="s">
        <v>24</v>
      </c>
      <c r="B9" s="5" t="s">
        <v>104</v>
      </c>
      <c r="C9" s="15">
        <v>75</v>
      </c>
      <c r="D9" s="15">
        <v>0.3</v>
      </c>
      <c r="E9" s="15">
        <v>0.3</v>
      </c>
      <c r="F9" s="15">
        <v>7.35</v>
      </c>
      <c r="G9" s="15">
        <v>35.25</v>
      </c>
      <c r="H9" s="15">
        <v>12</v>
      </c>
      <c r="I9" s="15">
        <v>6.75</v>
      </c>
      <c r="J9" s="15">
        <v>8.25</v>
      </c>
      <c r="K9" s="15">
        <v>0</v>
      </c>
      <c r="L9" s="15">
        <v>0</v>
      </c>
      <c r="M9" s="15">
        <v>1.65</v>
      </c>
      <c r="N9" s="15">
        <v>2.2499999999999999E-2</v>
      </c>
      <c r="O9" s="15">
        <v>1.4999999999999999E-2</v>
      </c>
      <c r="P9" s="15">
        <v>0.22500000000000001</v>
      </c>
      <c r="Q9" s="15">
        <v>7.5</v>
      </c>
    </row>
    <row r="10" spans="1:17" s="16" customFormat="1" ht="15.75" x14ac:dyDescent="0.25">
      <c r="A10" s="18"/>
      <c r="B10" s="19" t="s">
        <v>18</v>
      </c>
      <c r="C10" s="15">
        <f>SUM(C5:C9)</f>
        <v>515</v>
      </c>
      <c r="D10" s="15">
        <f>SUM(D5:D9)</f>
        <v>11.739999999999998</v>
      </c>
      <c r="E10" s="15">
        <f t="shared" ref="E10:Q10" si="0">SUM(E5:E9)</f>
        <v>17.860000000000003</v>
      </c>
      <c r="F10" s="15">
        <f t="shared" si="0"/>
        <v>51.71</v>
      </c>
      <c r="G10" s="15">
        <f t="shared" si="0"/>
        <v>403.23</v>
      </c>
      <c r="H10" s="15">
        <f t="shared" si="0"/>
        <v>299.29999999999995</v>
      </c>
      <c r="I10" s="15">
        <f t="shared" si="0"/>
        <v>60.05</v>
      </c>
      <c r="J10" s="15">
        <f t="shared" si="0"/>
        <v>260.14999999999998</v>
      </c>
      <c r="K10" s="15">
        <f>SUM(K5:K9)</f>
        <v>29.6</v>
      </c>
      <c r="L10" s="15">
        <f>SUM(L5:L9)</f>
        <v>4.2</v>
      </c>
      <c r="M10" s="15">
        <f t="shared" si="0"/>
        <v>3.41</v>
      </c>
      <c r="N10" s="15">
        <f t="shared" si="0"/>
        <v>0.1255</v>
      </c>
      <c r="O10" s="15">
        <f t="shared" si="0"/>
        <v>0.29000000000000004</v>
      </c>
      <c r="P10" s="15">
        <f t="shared" si="0"/>
        <v>0.96499999999999997</v>
      </c>
      <c r="Q10" s="15">
        <f t="shared" si="0"/>
        <v>8.1</v>
      </c>
    </row>
    <row r="11" spans="1:17" s="16" customFormat="1" ht="15.75" x14ac:dyDescent="0.25">
      <c r="A11" s="29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s="14" customFormat="1" ht="15.75" x14ac:dyDescent="0.25">
      <c r="A12" s="56" t="s">
        <v>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x14ac:dyDescent="0.25">
      <c r="A13" s="45" t="s">
        <v>0</v>
      </c>
      <c r="B13" s="45" t="s">
        <v>1</v>
      </c>
      <c r="C13" s="45" t="s">
        <v>2</v>
      </c>
      <c r="D13" s="42" t="s">
        <v>3</v>
      </c>
      <c r="E13" s="43"/>
      <c r="F13" s="44"/>
      <c r="G13" s="45" t="s">
        <v>16</v>
      </c>
      <c r="H13" s="42" t="s">
        <v>7</v>
      </c>
      <c r="I13" s="43"/>
      <c r="J13" s="43"/>
      <c r="K13" s="43"/>
      <c r="L13" s="43"/>
      <c r="M13" s="44"/>
      <c r="N13" s="42" t="s">
        <v>19</v>
      </c>
      <c r="O13" s="43"/>
      <c r="P13" s="43"/>
      <c r="Q13" s="44"/>
    </row>
    <row r="14" spans="1:17" ht="45.75" customHeight="1" x14ac:dyDescent="0.25">
      <c r="A14" s="46"/>
      <c r="B14" s="46"/>
      <c r="C14" s="46"/>
      <c r="D14" s="7" t="s">
        <v>4</v>
      </c>
      <c r="E14" s="8" t="s">
        <v>5</v>
      </c>
      <c r="F14" s="8" t="s">
        <v>6</v>
      </c>
      <c r="G14" s="46"/>
      <c r="H14" s="6" t="s">
        <v>8</v>
      </c>
      <c r="I14" s="6" t="s">
        <v>9</v>
      </c>
      <c r="J14" s="6" t="s">
        <v>10</v>
      </c>
      <c r="K14" s="33" t="s">
        <v>107</v>
      </c>
      <c r="L14" s="33" t="s">
        <v>108</v>
      </c>
      <c r="M14" s="6" t="s">
        <v>11</v>
      </c>
      <c r="N14" s="6" t="s">
        <v>12</v>
      </c>
      <c r="O14" s="6" t="s">
        <v>13</v>
      </c>
      <c r="P14" s="6" t="s">
        <v>14</v>
      </c>
      <c r="Q14" s="6" t="s">
        <v>15</v>
      </c>
    </row>
    <row r="15" spans="1:17" ht="15.75" x14ac:dyDescent="0.25">
      <c r="A15" s="1"/>
      <c r="B15" s="47" t="s">
        <v>17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</row>
    <row r="16" spans="1:17" ht="31.5" x14ac:dyDescent="0.25">
      <c r="A16" s="3" t="s">
        <v>128</v>
      </c>
      <c r="B16" s="4" t="s">
        <v>129</v>
      </c>
      <c r="C16" s="21">
        <v>60</v>
      </c>
      <c r="D16" s="21">
        <v>0.8</v>
      </c>
      <c r="E16" s="21">
        <v>2.7</v>
      </c>
      <c r="F16" s="21">
        <v>4.5999999999999996</v>
      </c>
      <c r="G16" s="21">
        <v>45.7</v>
      </c>
      <c r="H16" s="21">
        <v>20</v>
      </c>
      <c r="I16" s="21">
        <v>21</v>
      </c>
      <c r="J16" s="21">
        <v>21</v>
      </c>
      <c r="K16" s="21">
        <v>1</v>
      </c>
      <c r="L16" s="21">
        <v>0.01</v>
      </c>
      <c r="M16" s="21">
        <v>0.02</v>
      </c>
      <c r="N16" s="21">
        <v>0.1</v>
      </c>
      <c r="O16" s="21">
        <v>2</v>
      </c>
      <c r="P16" s="35"/>
      <c r="Q16" s="36"/>
    </row>
    <row r="17" spans="1:17" ht="31.5" x14ac:dyDescent="0.25">
      <c r="A17" s="3" t="s">
        <v>79</v>
      </c>
      <c r="B17" s="4" t="s">
        <v>22</v>
      </c>
      <c r="C17" s="21">
        <v>150</v>
      </c>
      <c r="D17" s="21">
        <v>8.1999999999999993</v>
      </c>
      <c r="E17" s="21">
        <v>6.5</v>
      </c>
      <c r="F17" s="21">
        <v>42.8</v>
      </c>
      <c r="G17" s="21">
        <v>262.5</v>
      </c>
      <c r="H17" s="21">
        <v>46</v>
      </c>
      <c r="I17" s="21">
        <v>59</v>
      </c>
      <c r="J17" s="21">
        <v>180</v>
      </c>
      <c r="K17" s="21">
        <v>20</v>
      </c>
      <c r="L17" s="21">
        <v>3.6</v>
      </c>
      <c r="M17" s="21">
        <v>5</v>
      </c>
      <c r="N17" s="21">
        <v>0.3</v>
      </c>
      <c r="O17" s="21">
        <v>0.1</v>
      </c>
      <c r="P17" s="21">
        <v>2.2999999999999998</v>
      </c>
      <c r="Q17" s="21">
        <v>0</v>
      </c>
    </row>
    <row r="18" spans="1:17" ht="33.75" customHeight="1" x14ac:dyDescent="0.25">
      <c r="A18" s="17" t="s">
        <v>100</v>
      </c>
      <c r="B18" s="6" t="s">
        <v>101</v>
      </c>
      <c r="C18" s="10">
        <v>75</v>
      </c>
      <c r="D18" s="9">
        <v>14.1</v>
      </c>
      <c r="E18" s="9">
        <v>11.9</v>
      </c>
      <c r="F18" s="9">
        <v>11.4</v>
      </c>
      <c r="G18" s="9">
        <v>209</v>
      </c>
      <c r="H18" s="9">
        <v>43</v>
      </c>
      <c r="I18" s="9">
        <v>25</v>
      </c>
      <c r="J18" s="9">
        <v>165</v>
      </c>
      <c r="K18" s="9">
        <v>14.2</v>
      </c>
      <c r="L18" s="9">
        <v>2.1</v>
      </c>
      <c r="M18" s="9">
        <v>1</v>
      </c>
      <c r="N18" s="9">
        <v>0.11</v>
      </c>
      <c r="O18" s="9">
        <v>0.14000000000000001</v>
      </c>
      <c r="P18" s="9">
        <v>2.2000000000000002</v>
      </c>
      <c r="Q18" s="9">
        <v>0</v>
      </c>
    </row>
    <row r="19" spans="1:17" s="16" customFormat="1" ht="32.25" customHeight="1" x14ac:dyDescent="0.25">
      <c r="A19" s="17" t="s">
        <v>85</v>
      </c>
      <c r="B19" s="6" t="s">
        <v>52</v>
      </c>
      <c r="C19" s="15">
        <v>50</v>
      </c>
      <c r="D19" s="15">
        <v>0.75</v>
      </c>
      <c r="E19" s="15">
        <v>4.2</v>
      </c>
      <c r="F19" s="15">
        <v>1.7</v>
      </c>
      <c r="G19" s="15">
        <v>47.6</v>
      </c>
      <c r="H19" s="15">
        <v>19.5</v>
      </c>
      <c r="I19" s="15">
        <v>2</v>
      </c>
      <c r="J19" s="15">
        <v>14</v>
      </c>
      <c r="K19" s="15">
        <v>0.6</v>
      </c>
      <c r="L19" s="15">
        <v>0.15</v>
      </c>
      <c r="M19" s="15">
        <v>0</v>
      </c>
      <c r="N19" s="15">
        <v>5.0000000000000001E-3</v>
      </c>
      <c r="O19" s="15">
        <v>0.02</v>
      </c>
      <c r="P19" s="15">
        <v>0.15</v>
      </c>
      <c r="Q19" s="15">
        <v>0</v>
      </c>
    </row>
    <row r="20" spans="1:17" ht="33" customHeight="1" x14ac:dyDescent="0.25">
      <c r="A20" s="3" t="s">
        <v>88</v>
      </c>
      <c r="B20" s="5" t="s">
        <v>53</v>
      </c>
      <c r="C20" s="9">
        <v>200</v>
      </c>
      <c r="D20" s="9">
        <v>0.2</v>
      </c>
      <c r="E20" s="9">
        <v>0</v>
      </c>
      <c r="F20" s="9">
        <v>6.4</v>
      </c>
      <c r="G20" s="9">
        <v>26.4</v>
      </c>
      <c r="H20" s="9">
        <v>4</v>
      </c>
      <c r="I20" s="9">
        <v>4</v>
      </c>
      <c r="J20" s="9">
        <v>7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0.1</v>
      </c>
      <c r="Q20" s="9">
        <v>0</v>
      </c>
    </row>
    <row r="21" spans="1:17" s="16" customFormat="1" ht="28.5" customHeight="1" x14ac:dyDescent="0.25">
      <c r="A21" s="17" t="s">
        <v>24</v>
      </c>
      <c r="B21" s="6" t="s">
        <v>50</v>
      </c>
      <c r="C21" s="15">
        <v>30</v>
      </c>
      <c r="D21" s="15">
        <v>2.2799999999999998</v>
      </c>
      <c r="E21" s="15">
        <v>0.24</v>
      </c>
      <c r="F21" s="15">
        <v>14.76</v>
      </c>
      <c r="G21" s="15">
        <v>57.9</v>
      </c>
      <c r="H21" s="15">
        <v>5.7</v>
      </c>
      <c r="I21" s="15">
        <v>3.9</v>
      </c>
      <c r="J21" s="15">
        <v>19.5</v>
      </c>
      <c r="K21" s="15">
        <v>0</v>
      </c>
      <c r="L21" s="15">
        <v>0</v>
      </c>
      <c r="M21" s="15">
        <v>0.36</v>
      </c>
      <c r="N21" s="15">
        <v>3.3000000000000002E-2</v>
      </c>
      <c r="O21" s="15">
        <v>8.9999999999999993E-3</v>
      </c>
      <c r="P21" s="15">
        <v>0.27</v>
      </c>
      <c r="Q21" s="15">
        <v>0</v>
      </c>
    </row>
    <row r="22" spans="1:17" ht="15.75" x14ac:dyDescent="0.25">
      <c r="A22" s="2"/>
      <c r="B22" s="11" t="s">
        <v>18</v>
      </c>
      <c r="C22" s="9">
        <f t="shared" ref="C22:Q22" si="1">SUM(C17:C21)</f>
        <v>505</v>
      </c>
      <c r="D22" s="9">
        <f t="shared" si="1"/>
        <v>25.529999999999998</v>
      </c>
      <c r="E22" s="9">
        <f t="shared" si="1"/>
        <v>22.839999999999996</v>
      </c>
      <c r="F22" s="9">
        <f t="shared" si="1"/>
        <v>77.06</v>
      </c>
      <c r="G22" s="9">
        <f t="shared" si="1"/>
        <v>603.4</v>
      </c>
      <c r="H22" s="9">
        <f t="shared" si="1"/>
        <v>118.2</v>
      </c>
      <c r="I22" s="9">
        <f t="shared" si="1"/>
        <v>93.9</v>
      </c>
      <c r="J22" s="9">
        <f t="shared" si="1"/>
        <v>385.5</v>
      </c>
      <c r="K22" s="9">
        <f t="shared" si="1"/>
        <v>34.800000000000004</v>
      </c>
      <c r="L22" s="9">
        <f t="shared" si="1"/>
        <v>5.8500000000000005</v>
      </c>
      <c r="M22" s="9">
        <f t="shared" si="1"/>
        <v>7.36</v>
      </c>
      <c r="N22" s="9">
        <f t="shared" si="1"/>
        <v>0.44799999999999995</v>
      </c>
      <c r="O22" s="9">
        <f t="shared" si="1"/>
        <v>0.26900000000000002</v>
      </c>
      <c r="P22" s="9">
        <f t="shared" si="1"/>
        <v>5.0199999999999996</v>
      </c>
      <c r="Q22" s="9">
        <f t="shared" si="1"/>
        <v>0</v>
      </c>
    </row>
    <row r="23" spans="1:17" ht="54" customHeight="1" x14ac:dyDescent="0.25">
      <c r="A23" s="13"/>
      <c r="B23" s="3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s="14" customFormat="1" ht="15.75" x14ac:dyDescent="0.25">
      <c r="A24" s="57" t="s">
        <v>54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t="15" customHeight="1" x14ac:dyDescent="0.25">
      <c r="A25" s="45" t="s">
        <v>0</v>
      </c>
      <c r="B25" s="45" t="s">
        <v>1</v>
      </c>
      <c r="C25" s="45" t="s">
        <v>2</v>
      </c>
      <c r="D25" s="42" t="s">
        <v>3</v>
      </c>
      <c r="E25" s="43"/>
      <c r="F25" s="44"/>
      <c r="G25" s="45" t="s">
        <v>16</v>
      </c>
      <c r="H25" s="42" t="s">
        <v>7</v>
      </c>
      <c r="I25" s="43"/>
      <c r="J25" s="43"/>
      <c r="K25" s="43"/>
      <c r="L25" s="43"/>
      <c r="M25" s="44"/>
      <c r="N25" s="42" t="s">
        <v>19</v>
      </c>
      <c r="O25" s="43"/>
      <c r="P25" s="43"/>
      <c r="Q25" s="44"/>
    </row>
    <row r="26" spans="1:17" ht="45.75" customHeight="1" x14ac:dyDescent="0.25">
      <c r="A26" s="46"/>
      <c r="B26" s="46"/>
      <c r="C26" s="46"/>
      <c r="D26" s="7" t="s">
        <v>4</v>
      </c>
      <c r="E26" s="8" t="s">
        <v>5</v>
      </c>
      <c r="F26" s="8" t="s">
        <v>6</v>
      </c>
      <c r="G26" s="46"/>
      <c r="H26" s="6" t="s">
        <v>8</v>
      </c>
      <c r="I26" s="6" t="s">
        <v>9</v>
      </c>
      <c r="J26" s="6" t="s">
        <v>10</v>
      </c>
      <c r="K26" s="33" t="s">
        <v>107</v>
      </c>
      <c r="L26" s="33" t="s">
        <v>108</v>
      </c>
      <c r="M26" s="6" t="s">
        <v>11</v>
      </c>
      <c r="N26" s="6" t="s">
        <v>12</v>
      </c>
      <c r="O26" s="6" t="s">
        <v>13</v>
      </c>
      <c r="P26" s="6" t="s">
        <v>14</v>
      </c>
      <c r="Q26" s="6" t="s">
        <v>15</v>
      </c>
    </row>
    <row r="27" spans="1:17" ht="15.75" x14ac:dyDescent="0.25">
      <c r="A27" s="1"/>
      <c r="B27" s="47" t="s">
        <v>17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</row>
    <row r="28" spans="1:17" ht="31.5" x14ac:dyDescent="0.25">
      <c r="A28" s="3" t="s">
        <v>74</v>
      </c>
      <c r="B28" s="4" t="s">
        <v>55</v>
      </c>
      <c r="C28" s="21">
        <v>30</v>
      </c>
      <c r="D28" s="21">
        <v>7.02</v>
      </c>
      <c r="E28" s="21">
        <v>9</v>
      </c>
      <c r="F28" s="21">
        <v>0</v>
      </c>
      <c r="G28" s="21">
        <v>109.1</v>
      </c>
      <c r="H28" s="21">
        <v>300</v>
      </c>
      <c r="I28" s="21">
        <v>14</v>
      </c>
      <c r="J28" s="21">
        <v>163</v>
      </c>
      <c r="K28" s="21">
        <v>0</v>
      </c>
      <c r="L28" s="21">
        <v>0</v>
      </c>
      <c r="M28" s="21">
        <v>0</v>
      </c>
      <c r="N28" s="21">
        <v>0.01</v>
      </c>
      <c r="O28" s="21">
        <v>0.09</v>
      </c>
      <c r="P28" s="21">
        <v>0.09</v>
      </c>
      <c r="Q28" s="21">
        <v>0</v>
      </c>
    </row>
    <row r="29" spans="1:17" ht="43.5" customHeight="1" x14ac:dyDescent="0.25">
      <c r="A29" s="17" t="s">
        <v>77</v>
      </c>
      <c r="B29" s="6" t="s">
        <v>56</v>
      </c>
      <c r="C29" s="9">
        <v>210</v>
      </c>
      <c r="D29" s="9">
        <v>8.5</v>
      </c>
      <c r="E29" s="9">
        <v>12.6</v>
      </c>
      <c r="F29" s="9">
        <v>43.3</v>
      </c>
      <c r="G29" s="9">
        <v>320.7</v>
      </c>
      <c r="H29" s="9">
        <v>147</v>
      </c>
      <c r="I29" s="9">
        <v>67</v>
      </c>
      <c r="J29" s="9">
        <v>249</v>
      </c>
      <c r="K29" s="9">
        <v>49</v>
      </c>
      <c r="L29" s="9">
        <v>15</v>
      </c>
      <c r="M29" s="9">
        <v>2</v>
      </c>
      <c r="N29" s="9">
        <v>0.21</v>
      </c>
      <c r="O29" s="9">
        <v>0.15</v>
      </c>
      <c r="P29" s="9">
        <v>0.6</v>
      </c>
      <c r="Q29" s="9">
        <v>0</v>
      </c>
    </row>
    <row r="30" spans="1:17" s="16" customFormat="1" ht="45.75" customHeight="1" x14ac:dyDescent="0.25">
      <c r="A30" s="17" t="s">
        <v>91</v>
      </c>
      <c r="B30" s="6" t="s">
        <v>92</v>
      </c>
      <c r="C30" s="15">
        <v>200</v>
      </c>
      <c r="D30" s="15">
        <v>1.5</v>
      </c>
      <c r="E30" s="15">
        <v>1.4</v>
      </c>
      <c r="F30" s="15">
        <v>8.6</v>
      </c>
      <c r="G30" s="15">
        <v>52.9</v>
      </c>
      <c r="H30" s="15">
        <v>57</v>
      </c>
      <c r="I30" s="15">
        <v>10</v>
      </c>
      <c r="J30" s="15">
        <v>47</v>
      </c>
      <c r="K30" s="15">
        <v>4.5</v>
      </c>
      <c r="L30" s="15">
        <v>0.9</v>
      </c>
      <c r="M30" s="15">
        <v>1</v>
      </c>
      <c r="N30" s="15">
        <v>0</v>
      </c>
      <c r="O30" s="15">
        <v>0.06</v>
      </c>
      <c r="P30" s="15">
        <v>0.1</v>
      </c>
      <c r="Q30" s="15">
        <v>0</v>
      </c>
    </row>
    <row r="31" spans="1:17" s="16" customFormat="1" ht="15.75" customHeight="1" x14ac:dyDescent="0.25">
      <c r="A31" s="17" t="s">
        <v>24</v>
      </c>
      <c r="B31" s="6" t="s">
        <v>50</v>
      </c>
      <c r="C31" s="15">
        <v>30</v>
      </c>
      <c r="D31" s="15">
        <v>2.2799999999999998</v>
      </c>
      <c r="E31" s="15">
        <v>0.24</v>
      </c>
      <c r="F31" s="15">
        <v>14.76</v>
      </c>
      <c r="G31" s="15">
        <v>57.9</v>
      </c>
      <c r="H31" s="15">
        <v>5.7</v>
      </c>
      <c r="I31" s="15">
        <v>3.9</v>
      </c>
      <c r="J31" s="15">
        <v>19.5</v>
      </c>
      <c r="K31" s="15">
        <v>0</v>
      </c>
      <c r="L31" s="15">
        <v>0</v>
      </c>
      <c r="M31" s="15">
        <v>0.36</v>
      </c>
      <c r="N31" s="15">
        <v>3.3000000000000002E-2</v>
      </c>
      <c r="O31" s="15">
        <v>8.9999999999999993E-3</v>
      </c>
      <c r="P31" s="15">
        <v>0.27</v>
      </c>
      <c r="Q31" s="15">
        <v>0</v>
      </c>
    </row>
    <row r="32" spans="1:17" ht="16.5" customHeight="1" x14ac:dyDescent="0.25">
      <c r="A32" s="3" t="s">
        <v>24</v>
      </c>
      <c r="B32" s="5" t="s">
        <v>106</v>
      </c>
      <c r="C32" s="9">
        <v>200</v>
      </c>
      <c r="D32" s="9">
        <v>2.8</v>
      </c>
      <c r="E32" s="9">
        <v>0</v>
      </c>
      <c r="F32" s="9">
        <v>40.799999999999997</v>
      </c>
      <c r="G32" s="9">
        <v>174.4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0.15</v>
      </c>
      <c r="Q32" s="9">
        <v>28.5</v>
      </c>
    </row>
    <row r="33" spans="1:17" ht="15.75" x14ac:dyDescent="0.25">
      <c r="A33" s="2"/>
      <c r="B33" s="11" t="s">
        <v>18</v>
      </c>
      <c r="C33" s="9">
        <f t="shared" ref="C33:Q33" si="2">SUM(C28:C32)</f>
        <v>670</v>
      </c>
      <c r="D33" s="9">
        <f t="shared" si="2"/>
        <v>22.1</v>
      </c>
      <c r="E33" s="9">
        <f t="shared" si="2"/>
        <v>23.24</v>
      </c>
      <c r="F33" s="9">
        <f t="shared" si="2"/>
        <v>107.46</v>
      </c>
      <c r="G33" s="9">
        <f t="shared" si="2"/>
        <v>714.99999999999989</v>
      </c>
      <c r="H33" s="9">
        <f t="shared" si="2"/>
        <v>509.7</v>
      </c>
      <c r="I33" s="9">
        <f t="shared" si="2"/>
        <v>94.9</v>
      </c>
      <c r="J33" s="9">
        <f t="shared" si="2"/>
        <v>478.5</v>
      </c>
      <c r="K33" s="9">
        <f t="shared" si="2"/>
        <v>53.5</v>
      </c>
      <c r="L33" s="9">
        <f t="shared" si="2"/>
        <v>15.9</v>
      </c>
      <c r="M33" s="9">
        <f t="shared" si="2"/>
        <v>3.36</v>
      </c>
      <c r="N33" s="9">
        <f t="shared" si="2"/>
        <v>0.253</v>
      </c>
      <c r="O33" s="9">
        <f t="shared" si="2"/>
        <v>0.309</v>
      </c>
      <c r="P33" s="9">
        <f t="shared" si="2"/>
        <v>1.21</v>
      </c>
      <c r="Q33" s="9">
        <f t="shared" si="2"/>
        <v>28.5</v>
      </c>
    </row>
    <row r="35" spans="1:17" s="14" customFormat="1" ht="15.75" x14ac:dyDescent="0.25">
      <c r="A35" s="56" t="s">
        <v>57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x14ac:dyDescent="0.25">
      <c r="A36" s="45" t="s">
        <v>0</v>
      </c>
      <c r="B36" s="45" t="s">
        <v>1</v>
      </c>
      <c r="C36" s="45" t="s">
        <v>2</v>
      </c>
      <c r="D36" s="42" t="s">
        <v>3</v>
      </c>
      <c r="E36" s="43"/>
      <c r="F36" s="44"/>
      <c r="G36" s="45" t="s">
        <v>16</v>
      </c>
      <c r="H36" s="42" t="s">
        <v>7</v>
      </c>
      <c r="I36" s="43"/>
      <c r="J36" s="43"/>
      <c r="K36" s="43"/>
      <c r="L36" s="43"/>
      <c r="M36" s="44"/>
      <c r="N36" s="42" t="s">
        <v>19</v>
      </c>
      <c r="O36" s="43"/>
      <c r="P36" s="43"/>
      <c r="Q36" s="44"/>
    </row>
    <row r="37" spans="1:17" ht="45.75" customHeight="1" x14ac:dyDescent="0.25">
      <c r="A37" s="46"/>
      <c r="B37" s="46"/>
      <c r="C37" s="46"/>
      <c r="D37" s="7" t="s">
        <v>4</v>
      </c>
      <c r="E37" s="8" t="s">
        <v>5</v>
      </c>
      <c r="F37" s="8" t="s">
        <v>6</v>
      </c>
      <c r="G37" s="46"/>
      <c r="H37" s="6" t="s">
        <v>8</v>
      </c>
      <c r="I37" s="6" t="s">
        <v>9</v>
      </c>
      <c r="J37" s="6" t="s">
        <v>10</v>
      </c>
      <c r="K37" s="33" t="s">
        <v>107</v>
      </c>
      <c r="L37" s="33" t="s">
        <v>108</v>
      </c>
      <c r="M37" s="6" t="s">
        <v>11</v>
      </c>
      <c r="N37" s="6" t="s">
        <v>12</v>
      </c>
      <c r="O37" s="6" t="s">
        <v>13</v>
      </c>
      <c r="P37" s="6" t="s">
        <v>14</v>
      </c>
      <c r="Q37" s="6" t="s">
        <v>15</v>
      </c>
    </row>
    <row r="38" spans="1:17" ht="15.75" x14ac:dyDescent="0.25">
      <c r="A38" s="1"/>
      <c r="B38" s="47" t="s">
        <v>17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ht="31.5" x14ac:dyDescent="0.25">
      <c r="A39" s="3" t="s">
        <v>130</v>
      </c>
      <c r="B39" s="4" t="s">
        <v>131</v>
      </c>
      <c r="C39" s="21">
        <v>60</v>
      </c>
      <c r="D39" s="21">
        <v>0.5</v>
      </c>
      <c r="E39" s="21">
        <v>5.4</v>
      </c>
      <c r="F39" s="21">
        <v>3.9</v>
      </c>
      <c r="G39" s="21">
        <v>66.099999999999994</v>
      </c>
      <c r="H39" s="21">
        <v>23</v>
      </c>
      <c r="I39" s="21">
        <v>16</v>
      </c>
      <c r="J39" s="21">
        <v>22</v>
      </c>
      <c r="K39" s="21">
        <v>0</v>
      </c>
      <c r="L39" s="21">
        <v>0.03</v>
      </c>
      <c r="M39" s="21">
        <v>0.03</v>
      </c>
      <c r="N39" s="21">
        <v>0.4</v>
      </c>
      <c r="O39" s="21">
        <v>4</v>
      </c>
      <c r="P39" s="35"/>
      <c r="Q39" s="36"/>
    </row>
    <row r="40" spans="1:17" ht="31.5" x14ac:dyDescent="0.25">
      <c r="A40" s="3" t="s">
        <v>81</v>
      </c>
      <c r="B40" s="4" t="s">
        <v>58</v>
      </c>
      <c r="C40" s="21">
        <v>150</v>
      </c>
      <c r="D40" s="21">
        <v>3</v>
      </c>
      <c r="E40" s="21">
        <v>5.7</v>
      </c>
      <c r="F40" s="21">
        <v>23.7</v>
      </c>
      <c r="G40" s="21">
        <v>158.30000000000001</v>
      </c>
      <c r="H40" s="21">
        <v>40</v>
      </c>
      <c r="I40" s="21">
        <v>28</v>
      </c>
      <c r="J40" s="21">
        <v>84</v>
      </c>
      <c r="K40" s="21">
        <v>28.5</v>
      </c>
      <c r="L40" s="21">
        <v>0.8</v>
      </c>
      <c r="M40" s="21">
        <v>1</v>
      </c>
      <c r="N40" s="21">
        <v>0.12</v>
      </c>
      <c r="O40" s="21">
        <v>7.0000000000000007E-2</v>
      </c>
      <c r="P40" s="21">
        <v>0.9</v>
      </c>
      <c r="Q40" s="21">
        <v>10</v>
      </c>
    </row>
    <row r="41" spans="1:17" ht="30.75" customHeight="1" x14ac:dyDescent="0.25">
      <c r="A41" s="17" t="s">
        <v>84</v>
      </c>
      <c r="B41" s="6" t="s">
        <v>59</v>
      </c>
      <c r="C41" s="9">
        <v>50</v>
      </c>
      <c r="D41" s="9">
        <v>1.35</v>
      </c>
      <c r="E41" s="9">
        <v>2.1</v>
      </c>
      <c r="F41" s="9">
        <v>2.2000000000000002</v>
      </c>
      <c r="G41" s="9">
        <v>32.75</v>
      </c>
      <c r="H41" s="9">
        <v>2.5</v>
      </c>
      <c r="I41" s="9">
        <v>1</v>
      </c>
      <c r="J41" s="9">
        <v>4.5</v>
      </c>
      <c r="K41" s="9">
        <v>0.7</v>
      </c>
      <c r="L41" s="9">
        <v>0.15</v>
      </c>
      <c r="M41" s="9">
        <v>0</v>
      </c>
      <c r="N41" s="9">
        <v>5.0000000000000001E-3</v>
      </c>
      <c r="O41" s="9">
        <v>0</v>
      </c>
      <c r="P41" s="9">
        <v>0.05</v>
      </c>
      <c r="Q41" s="9">
        <v>0</v>
      </c>
    </row>
    <row r="42" spans="1:17" s="16" customFormat="1" ht="47.25" customHeight="1" x14ac:dyDescent="0.25">
      <c r="A42" s="17" t="s">
        <v>110</v>
      </c>
      <c r="B42" s="6" t="s">
        <v>111</v>
      </c>
      <c r="C42" s="15">
        <v>80</v>
      </c>
      <c r="D42" s="15">
        <v>15.3</v>
      </c>
      <c r="E42" s="15">
        <v>19.899999999999999</v>
      </c>
      <c r="F42" s="15">
        <v>4.4000000000000004</v>
      </c>
      <c r="G42" s="15">
        <v>257.89999999999998</v>
      </c>
      <c r="H42" s="15">
        <v>87</v>
      </c>
      <c r="I42" s="15">
        <v>47</v>
      </c>
      <c r="J42" s="15">
        <v>55</v>
      </c>
      <c r="K42" s="15">
        <v>136.30000000000001</v>
      </c>
      <c r="L42" s="15">
        <v>11.8</v>
      </c>
      <c r="M42" s="15">
        <v>1</v>
      </c>
      <c r="N42" s="15">
        <v>7.0000000000000007E-2</v>
      </c>
      <c r="O42" s="15">
        <v>0.15</v>
      </c>
      <c r="P42" s="15">
        <v>0.8</v>
      </c>
      <c r="Q42" s="15">
        <v>0</v>
      </c>
    </row>
    <row r="43" spans="1:17" s="16" customFormat="1" ht="15.75" customHeight="1" x14ac:dyDescent="0.25">
      <c r="A43" s="17" t="s">
        <v>24</v>
      </c>
      <c r="B43" s="6" t="s">
        <v>50</v>
      </c>
      <c r="C43" s="15">
        <v>30</v>
      </c>
      <c r="D43" s="15">
        <v>2.2799999999999998</v>
      </c>
      <c r="E43" s="15">
        <v>0.24</v>
      </c>
      <c r="F43" s="15">
        <v>14.76</v>
      </c>
      <c r="G43" s="15">
        <v>57.9</v>
      </c>
      <c r="H43" s="15">
        <v>5.7</v>
      </c>
      <c r="I43" s="15">
        <v>3.9</v>
      </c>
      <c r="J43" s="15">
        <v>19.5</v>
      </c>
      <c r="K43" s="15">
        <v>0</v>
      </c>
      <c r="L43" s="15">
        <v>0</v>
      </c>
      <c r="M43" s="15">
        <v>0.36</v>
      </c>
      <c r="N43" s="15">
        <v>3.3000000000000002E-2</v>
      </c>
      <c r="O43" s="15">
        <v>8.9999999999999993E-3</v>
      </c>
      <c r="P43" s="15">
        <v>0.27</v>
      </c>
      <c r="Q43" s="15">
        <v>0</v>
      </c>
    </row>
    <row r="44" spans="1:17" ht="45.75" customHeight="1" x14ac:dyDescent="0.25">
      <c r="A44" s="3" t="s">
        <v>89</v>
      </c>
      <c r="B44" s="5" t="s">
        <v>90</v>
      </c>
      <c r="C44" s="9">
        <v>200</v>
      </c>
      <c r="D44" s="9">
        <v>0.3</v>
      </c>
      <c r="E44" s="9">
        <v>0</v>
      </c>
      <c r="F44" s="9">
        <v>6.7</v>
      </c>
      <c r="G44" s="9">
        <v>27.6</v>
      </c>
      <c r="H44" s="9">
        <v>6</v>
      </c>
      <c r="I44" s="9">
        <v>5</v>
      </c>
      <c r="J44" s="9">
        <v>8</v>
      </c>
      <c r="K44" s="9">
        <v>0</v>
      </c>
      <c r="L44" s="9">
        <v>0</v>
      </c>
      <c r="M44" s="9">
        <v>1</v>
      </c>
      <c r="N44" s="9">
        <v>0</v>
      </c>
      <c r="O44" s="9">
        <v>0.01</v>
      </c>
      <c r="P44" s="9">
        <v>7.0000000000000007E-2</v>
      </c>
      <c r="Q44" s="9">
        <v>1</v>
      </c>
    </row>
    <row r="45" spans="1:17" ht="15.75" x14ac:dyDescent="0.25">
      <c r="A45" s="2"/>
      <c r="B45" s="11" t="s">
        <v>18</v>
      </c>
      <c r="C45" s="9">
        <f t="shared" ref="C45:Q45" si="3">SUM(C40:C44)</f>
        <v>510</v>
      </c>
      <c r="D45" s="9">
        <f t="shared" si="3"/>
        <v>22.23</v>
      </c>
      <c r="E45" s="9">
        <f t="shared" si="3"/>
        <v>27.939999999999998</v>
      </c>
      <c r="F45" s="9">
        <f t="shared" si="3"/>
        <v>51.76</v>
      </c>
      <c r="G45" s="9">
        <f t="shared" si="3"/>
        <v>534.44999999999993</v>
      </c>
      <c r="H45" s="9">
        <f t="shared" si="3"/>
        <v>141.19999999999999</v>
      </c>
      <c r="I45" s="9">
        <f t="shared" si="3"/>
        <v>84.9</v>
      </c>
      <c r="J45" s="9">
        <f t="shared" si="3"/>
        <v>171</v>
      </c>
      <c r="K45" s="9">
        <f t="shared" si="3"/>
        <v>165.5</v>
      </c>
      <c r="L45" s="9">
        <f t="shared" si="3"/>
        <v>12.75</v>
      </c>
      <c r="M45" s="9">
        <f t="shared" si="3"/>
        <v>3.36</v>
      </c>
      <c r="N45" s="9">
        <f t="shared" si="3"/>
        <v>0.22800000000000001</v>
      </c>
      <c r="O45" s="9">
        <f t="shared" si="3"/>
        <v>0.23900000000000002</v>
      </c>
      <c r="P45" s="9">
        <f t="shared" si="3"/>
        <v>2.09</v>
      </c>
      <c r="Q45" s="9">
        <f t="shared" si="3"/>
        <v>11</v>
      </c>
    </row>
    <row r="46" spans="1:17" ht="15.75" x14ac:dyDescent="0.25">
      <c r="A46" s="13"/>
      <c r="B46" s="3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8" spans="1:17" s="14" customFormat="1" ht="15.75" x14ac:dyDescent="0.25">
      <c r="A48" s="56" t="s">
        <v>60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25">
      <c r="A49" s="45" t="s">
        <v>0</v>
      </c>
      <c r="B49" s="45" t="s">
        <v>1</v>
      </c>
      <c r="C49" s="45" t="s">
        <v>2</v>
      </c>
      <c r="D49" s="42" t="s">
        <v>3</v>
      </c>
      <c r="E49" s="43"/>
      <c r="F49" s="44"/>
      <c r="G49" s="45" t="s">
        <v>16</v>
      </c>
      <c r="H49" s="42" t="s">
        <v>7</v>
      </c>
      <c r="I49" s="43"/>
      <c r="J49" s="43"/>
      <c r="K49" s="43"/>
      <c r="L49" s="43"/>
      <c r="M49" s="44"/>
      <c r="N49" s="42" t="s">
        <v>19</v>
      </c>
      <c r="O49" s="43"/>
      <c r="P49" s="43"/>
      <c r="Q49" s="44"/>
    </row>
    <row r="50" spans="1:17" ht="45.75" customHeight="1" x14ac:dyDescent="0.25">
      <c r="A50" s="46"/>
      <c r="B50" s="46"/>
      <c r="C50" s="46"/>
      <c r="D50" s="7" t="s">
        <v>4</v>
      </c>
      <c r="E50" s="8" t="s">
        <v>5</v>
      </c>
      <c r="F50" s="8" t="s">
        <v>6</v>
      </c>
      <c r="G50" s="46"/>
      <c r="H50" s="6" t="s">
        <v>8</v>
      </c>
      <c r="I50" s="6" t="s">
        <v>9</v>
      </c>
      <c r="J50" s="6" t="s">
        <v>10</v>
      </c>
      <c r="K50" s="33" t="s">
        <v>107</v>
      </c>
      <c r="L50" s="33" t="s">
        <v>108</v>
      </c>
      <c r="M50" s="6" t="s">
        <v>11</v>
      </c>
      <c r="N50" s="6" t="s">
        <v>12</v>
      </c>
      <c r="O50" s="6" t="s">
        <v>13</v>
      </c>
      <c r="P50" s="6" t="s">
        <v>14</v>
      </c>
      <c r="Q50" s="6" t="s">
        <v>15</v>
      </c>
    </row>
    <row r="51" spans="1:17" ht="15.75" x14ac:dyDescent="0.25">
      <c r="A51" s="1"/>
      <c r="B51" s="47" t="s">
        <v>17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9"/>
    </row>
    <row r="52" spans="1:17" ht="30" customHeight="1" x14ac:dyDescent="0.25">
      <c r="A52" s="3" t="s">
        <v>83</v>
      </c>
      <c r="B52" s="4" t="s">
        <v>23</v>
      </c>
      <c r="C52" s="21">
        <v>200</v>
      </c>
      <c r="D52" s="21">
        <v>32.299999999999997</v>
      </c>
      <c r="E52" s="21">
        <v>21.6</v>
      </c>
      <c r="F52" s="21">
        <v>30</v>
      </c>
      <c r="G52" s="21">
        <v>443.3</v>
      </c>
      <c r="H52" s="21">
        <v>292</v>
      </c>
      <c r="I52" s="21">
        <v>45</v>
      </c>
      <c r="J52" s="21">
        <v>389</v>
      </c>
      <c r="K52" s="21">
        <v>38</v>
      </c>
      <c r="L52" s="21">
        <v>52.1</v>
      </c>
      <c r="M52" s="21">
        <v>1</v>
      </c>
      <c r="N52" s="21">
        <v>0.11</v>
      </c>
      <c r="O52" s="21">
        <v>0.46</v>
      </c>
      <c r="P52" s="21">
        <v>1.1000000000000001</v>
      </c>
      <c r="Q52" s="21">
        <v>0</v>
      </c>
    </row>
    <row r="53" spans="1:17" s="16" customFormat="1" ht="15.75" customHeight="1" x14ac:dyDescent="0.25">
      <c r="A53" s="17" t="s">
        <v>24</v>
      </c>
      <c r="B53" s="6" t="s">
        <v>50</v>
      </c>
      <c r="C53" s="15">
        <v>30</v>
      </c>
      <c r="D53" s="15">
        <v>2.2799999999999998</v>
      </c>
      <c r="E53" s="15">
        <v>0.24</v>
      </c>
      <c r="F53" s="15">
        <v>14.76</v>
      </c>
      <c r="G53" s="15">
        <v>57.9</v>
      </c>
      <c r="H53" s="15">
        <v>5.7</v>
      </c>
      <c r="I53" s="15">
        <v>3.9</v>
      </c>
      <c r="J53" s="15">
        <v>19.5</v>
      </c>
      <c r="K53" s="15">
        <v>0</v>
      </c>
      <c r="L53" s="15">
        <v>0</v>
      </c>
      <c r="M53" s="15">
        <v>0.36</v>
      </c>
      <c r="N53" s="15">
        <v>3.3000000000000002E-2</v>
      </c>
      <c r="O53" s="15">
        <v>8.9999999999999993E-3</v>
      </c>
      <c r="P53" s="15">
        <v>0.27</v>
      </c>
      <c r="Q53" s="15">
        <v>0</v>
      </c>
    </row>
    <row r="54" spans="1:17" s="16" customFormat="1" ht="33" customHeight="1" x14ac:dyDescent="0.25">
      <c r="A54" s="17" t="s">
        <v>86</v>
      </c>
      <c r="B54" s="6" t="s">
        <v>87</v>
      </c>
      <c r="C54" s="15">
        <v>200</v>
      </c>
      <c r="D54" s="15">
        <v>0.2</v>
      </c>
      <c r="E54" s="15">
        <v>0</v>
      </c>
      <c r="F54" s="15">
        <v>0.1</v>
      </c>
      <c r="G54" s="15">
        <v>1</v>
      </c>
      <c r="H54" s="15">
        <v>4</v>
      </c>
      <c r="I54" s="15">
        <v>4</v>
      </c>
      <c r="J54" s="15">
        <v>7</v>
      </c>
      <c r="K54" s="15">
        <v>0</v>
      </c>
      <c r="L54" s="15">
        <v>0</v>
      </c>
      <c r="M54" s="15">
        <v>1</v>
      </c>
      <c r="N54" s="15">
        <v>0</v>
      </c>
      <c r="O54" s="15">
        <v>0.01</v>
      </c>
      <c r="P54" s="15">
        <v>0.06</v>
      </c>
      <c r="Q54" s="15">
        <v>0</v>
      </c>
    </row>
    <row r="55" spans="1:17" s="16" customFormat="1" ht="30" customHeight="1" x14ac:dyDescent="0.25">
      <c r="A55" s="17" t="s">
        <v>75</v>
      </c>
      <c r="B55" s="5" t="s">
        <v>51</v>
      </c>
      <c r="C55" s="15">
        <v>10</v>
      </c>
      <c r="D55" s="15">
        <v>0.1</v>
      </c>
      <c r="E55" s="15">
        <v>8.3000000000000007</v>
      </c>
      <c r="F55" s="15">
        <v>0.1</v>
      </c>
      <c r="G55" s="15">
        <v>74.900000000000006</v>
      </c>
      <c r="H55" s="15">
        <v>2</v>
      </c>
      <c r="I55" s="15">
        <v>0</v>
      </c>
      <c r="J55" s="15">
        <v>2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0.01</v>
      </c>
      <c r="Q55" s="15">
        <v>0</v>
      </c>
    </row>
    <row r="56" spans="1:17" ht="15.75" x14ac:dyDescent="0.25">
      <c r="A56" s="2"/>
      <c r="B56" s="11" t="s">
        <v>18</v>
      </c>
      <c r="C56" s="9">
        <f t="shared" ref="C56:Q56" si="4">SUM(C52:C55)</f>
        <v>440</v>
      </c>
      <c r="D56" s="9">
        <f t="shared" si="4"/>
        <v>34.880000000000003</v>
      </c>
      <c r="E56" s="9">
        <f t="shared" si="4"/>
        <v>30.14</v>
      </c>
      <c r="F56" s="9">
        <f t="shared" si="4"/>
        <v>44.96</v>
      </c>
      <c r="G56" s="9">
        <f t="shared" si="4"/>
        <v>577.1</v>
      </c>
      <c r="H56" s="9">
        <f t="shared" si="4"/>
        <v>303.7</v>
      </c>
      <c r="I56" s="9">
        <f t="shared" si="4"/>
        <v>52.9</v>
      </c>
      <c r="J56" s="9">
        <f t="shared" si="4"/>
        <v>417.5</v>
      </c>
      <c r="K56" s="9">
        <f t="shared" si="4"/>
        <v>38</v>
      </c>
      <c r="L56" s="9">
        <f t="shared" si="4"/>
        <v>52.1</v>
      </c>
      <c r="M56" s="9">
        <f t="shared" si="4"/>
        <v>2.36</v>
      </c>
      <c r="N56" s="9">
        <f t="shared" si="4"/>
        <v>0.14300000000000002</v>
      </c>
      <c r="O56" s="9">
        <f t="shared" si="4"/>
        <v>0.47900000000000004</v>
      </c>
      <c r="P56" s="9">
        <f t="shared" si="4"/>
        <v>1.4400000000000002</v>
      </c>
      <c r="Q56" s="9">
        <f t="shared" si="4"/>
        <v>0</v>
      </c>
    </row>
    <row r="58" spans="1:17" s="14" customFormat="1" ht="15.75" x14ac:dyDescent="0.25">
      <c r="A58" s="56" t="s">
        <v>61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x14ac:dyDescent="0.25">
      <c r="A59" s="45" t="s">
        <v>0</v>
      </c>
      <c r="B59" s="45" t="s">
        <v>1</v>
      </c>
      <c r="C59" s="45" t="s">
        <v>2</v>
      </c>
      <c r="D59" s="42" t="s">
        <v>3</v>
      </c>
      <c r="E59" s="43"/>
      <c r="F59" s="44"/>
      <c r="G59" s="45" t="s">
        <v>16</v>
      </c>
      <c r="H59" s="42" t="s">
        <v>7</v>
      </c>
      <c r="I59" s="43"/>
      <c r="J59" s="43"/>
      <c r="K59" s="43"/>
      <c r="L59" s="43"/>
      <c r="M59" s="44"/>
      <c r="N59" s="42" t="s">
        <v>19</v>
      </c>
      <c r="O59" s="43"/>
      <c r="P59" s="43"/>
      <c r="Q59" s="44"/>
    </row>
    <row r="60" spans="1:17" ht="45.75" customHeight="1" x14ac:dyDescent="0.25">
      <c r="A60" s="46"/>
      <c r="B60" s="46"/>
      <c r="C60" s="46"/>
      <c r="D60" s="7" t="s">
        <v>4</v>
      </c>
      <c r="E60" s="8" t="s">
        <v>5</v>
      </c>
      <c r="F60" s="8" t="s">
        <v>6</v>
      </c>
      <c r="G60" s="46"/>
      <c r="H60" s="6" t="s">
        <v>8</v>
      </c>
      <c r="I60" s="6" t="s">
        <v>9</v>
      </c>
      <c r="J60" s="6" t="s">
        <v>10</v>
      </c>
      <c r="K60" s="33" t="s">
        <v>107</v>
      </c>
      <c r="L60" s="33" t="s">
        <v>108</v>
      </c>
      <c r="M60" s="6" t="s">
        <v>11</v>
      </c>
      <c r="N60" s="6" t="s">
        <v>12</v>
      </c>
      <c r="O60" s="6" t="s">
        <v>13</v>
      </c>
      <c r="P60" s="6" t="s">
        <v>14</v>
      </c>
      <c r="Q60" s="6" t="s">
        <v>15</v>
      </c>
    </row>
    <row r="61" spans="1:17" ht="15.75" x14ac:dyDescent="0.25">
      <c r="A61" s="1"/>
      <c r="B61" s="47" t="s">
        <v>17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9"/>
    </row>
    <row r="62" spans="1:17" ht="31.5" x14ac:dyDescent="0.25">
      <c r="A62" s="3" t="s">
        <v>128</v>
      </c>
      <c r="B62" s="4" t="s">
        <v>129</v>
      </c>
      <c r="C62" s="21">
        <v>60</v>
      </c>
      <c r="D62" s="21">
        <v>0.8</v>
      </c>
      <c r="E62" s="21">
        <v>2.7</v>
      </c>
      <c r="F62" s="21">
        <v>4.5999999999999996</v>
      </c>
      <c r="G62" s="21">
        <v>45.7</v>
      </c>
      <c r="H62" s="21">
        <v>20</v>
      </c>
      <c r="I62" s="21">
        <v>21</v>
      </c>
      <c r="J62" s="21">
        <v>21</v>
      </c>
      <c r="K62" s="21">
        <v>1</v>
      </c>
      <c r="L62" s="21">
        <v>0.01</v>
      </c>
      <c r="M62" s="21">
        <v>0.02</v>
      </c>
      <c r="N62" s="21">
        <v>0.1</v>
      </c>
      <c r="O62" s="21">
        <v>2</v>
      </c>
      <c r="P62" s="35"/>
      <c r="Q62" s="36"/>
    </row>
    <row r="63" spans="1:17" ht="31.5" x14ac:dyDescent="0.25">
      <c r="A63" s="3" t="s">
        <v>80</v>
      </c>
      <c r="B63" s="4" t="s">
        <v>62</v>
      </c>
      <c r="C63" s="21">
        <v>150</v>
      </c>
      <c r="D63" s="21">
        <v>3.6</v>
      </c>
      <c r="E63" s="21">
        <v>5.2</v>
      </c>
      <c r="F63" s="21">
        <v>38.1</v>
      </c>
      <c r="G63" s="21">
        <v>213.5</v>
      </c>
      <c r="H63" s="21">
        <v>14</v>
      </c>
      <c r="I63" s="21">
        <v>10</v>
      </c>
      <c r="J63" s="21">
        <v>47</v>
      </c>
      <c r="K63" s="21">
        <v>20</v>
      </c>
      <c r="L63" s="21">
        <v>7.3</v>
      </c>
      <c r="M63" s="21">
        <v>1</v>
      </c>
      <c r="N63" s="21">
        <v>0</v>
      </c>
      <c r="O63" s="21">
        <v>0</v>
      </c>
      <c r="P63" s="21">
        <v>0.7</v>
      </c>
      <c r="Q63" s="21">
        <v>0</v>
      </c>
    </row>
    <row r="64" spans="1:17" ht="33.75" customHeight="1" x14ac:dyDescent="0.25">
      <c r="A64" s="17" t="s">
        <v>112</v>
      </c>
      <c r="B64" s="6" t="s">
        <v>113</v>
      </c>
      <c r="C64" s="9">
        <v>80</v>
      </c>
      <c r="D64" s="9">
        <v>10.5</v>
      </c>
      <c r="E64" s="9">
        <v>6</v>
      </c>
      <c r="F64" s="9">
        <v>2.5</v>
      </c>
      <c r="G64" s="9">
        <v>106.3</v>
      </c>
      <c r="H64" s="9">
        <v>32</v>
      </c>
      <c r="I64" s="9">
        <v>37</v>
      </c>
      <c r="J64" s="9">
        <v>28</v>
      </c>
      <c r="K64" s="9">
        <v>106.8</v>
      </c>
      <c r="L64" s="9">
        <v>9.6</v>
      </c>
      <c r="M64" s="9">
        <v>0</v>
      </c>
      <c r="N64" s="9">
        <v>0.06</v>
      </c>
      <c r="O64" s="9">
        <v>0.11</v>
      </c>
      <c r="P64" s="9">
        <v>0.6</v>
      </c>
      <c r="Q64" s="9">
        <v>1</v>
      </c>
    </row>
    <row r="65" spans="1:17" s="16" customFormat="1" ht="15.75" customHeight="1" x14ac:dyDescent="0.25">
      <c r="A65" s="17" t="s">
        <v>24</v>
      </c>
      <c r="B65" s="6" t="s">
        <v>50</v>
      </c>
      <c r="C65" s="15">
        <v>30</v>
      </c>
      <c r="D65" s="15">
        <v>2.2799999999999998</v>
      </c>
      <c r="E65" s="15">
        <v>0.24</v>
      </c>
      <c r="F65" s="15">
        <v>14.76</v>
      </c>
      <c r="G65" s="15">
        <v>57.9</v>
      </c>
      <c r="H65" s="15">
        <v>5.7</v>
      </c>
      <c r="I65" s="15">
        <v>3.9</v>
      </c>
      <c r="J65" s="15">
        <v>19.5</v>
      </c>
      <c r="K65" s="15">
        <v>0</v>
      </c>
      <c r="L65" s="15">
        <v>0</v>
      </c>
      <c r="M65" s="15">
        <v>0.36</v>
      </c>
      <c r="N65" s="15">
        <v>3.3000000000000002E-2</v>
      </c>
      <c r="O65" s="15">
        <v>8.9999999999999993E-3</v>
      </c>
      <c r="P65" s="15">
        <v>0.27</v>
      </c>
      <c r="Q65" s="15">
        <v>0</v>
      </c>
    </row>
    <row r="66" spans="1:17" ht="33" customHeight="1" x14ac:dyDescent="0.25">
      <c r="A66" s="3" t="s">
        <v>88</v>
      </c>
      <c r="B66" s="5" t="s">
        <v>53</v>
      </c>
      <c r="C66" s="9">
        <v>200</v>
      </c>
      <c r="D66" s="9">
        <v>0.2</v>
      </c>
      <c r="E66" s="9">
        <v>0</v>
      </c>
      <c r="F66" s="9">
        <v>6.4</v>
      </c>
      <c r="G66" s="9">
        <v>26.4</v>
      </c>
      <c r="H66" s="9">
        <v>4</v>
      </c>
      <c r="I66" s="9">
        <v>4</v>
      </c>
      <c r="J66" s="9">
        <v>7</v>
      </c>
      <c r="K66" s="9">
        <v>0</v>
      </c>
      <c r="L66" s="9">
        <v>0</v>
      </c>
      <c r="M66" s="9">
        <v>1</v>
      </c>
      <c r="N66" s="9">
        <v>0</v>
      </c>
      <c r="O66" s="9">
        <v>0</v>
      </c>
      <c r="P66" s="9">
        <v>0.1</v>
      </c>
      <c r="Q66" s="9">
        <v>0</v>
      </c>
    </row>
    <row r="67" spans="1:17" ht="15.75" customHeight="1" x14ac:dyDescent="0.25">
      <c r="A67" s="3" t="s">
        <v>24</v>
      </c>
      <c r="B67" s="5" t="s">
        <v>105</v>
      </c>
      <c r="C67" s="9">
        <v>75</v>
      </c>
      <c r="D67" s="9">
        <v>0.6</v>
      </c>
      <c r="E67" s="9">
        <v>0</v>
      </c>
      <c r="F67" s="9">
        <v>5.9</v>
      </c>
      <c r="G67" s="9">
        <v>25.7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1.8</v>
      </c>
      <c r="Q67" s="9">
        <v>20</v>
      </c>
    </row>
    <row r="68" spans="1:17" ht="15.75" x14ac:dyDescent="0.25">
      <c r="A68" s="2"/>
      <c r="B68" s="11" t="s">
        <v>18</v>
      </c>
      <c r="C68" s="9">
        <f>SUM(C63:C67)</f>
        <v>535</v>
      </c>
      <c r="D68" s="9">
        <f>SUM(D63:D67)</f>
        <v>17.18</v>
      </c>
      <c r="E68" s="9">
        <f t="shared" ref="E68:Q68" si="5">SUM(E63:E67)</f>
        <v>11.44</v>
      </c>
      <c r="F68" s="9">
        <f t="shared" si="5"/>
        <v>67.66</v>
      </c>
      <c r="G68" s="9">
        <f t="shared" si="5"/>
        <v>429.79999999999995</v>
      </c>
      <c r="H68" s="9">
        <f t="shared" si="5"/>
        <v>55.7</v>
      </c>
      <c r="I68" s="9">
        <f t="shared" si="5"/>
        <v>54.9</v>
      </c>
      <c r="J68" s="9">
        <f t="shared" si="5"/>
        <v>101.5</v>
      </c>
      <c r="K68" s="9">
        <f t="shared" si="5"/>
        <v>126.8</v>
      </c>
      <c r="L68" s="9">
        <f t="shared" si="5"/>
        <v>16.899999999999999</v>
      </c>
      <c r="M68" s="9">
        <f t="shared" si="5"/>
        <v>2.36</v>
      </c>
      <c r="N68" s="9">
        <f t="shared" si="5"/>
        <v>9.2999999999999999E-2</v>
      </c>
      <c r="O68" s="9">
        <f t="shared" si="5"/>
        <v>0.11899999999999999</v>
      </c>
      <c r="P68" s="9">
        <f t="shared" si="5"/>
        <v>3.4699999999999998</v>
      </c>
      <c r="Q68" s="9">
        <f t="shared" si="5"/>
        <v>21</v>
      </c>
    </row>
    <row r="69" spans="1:17" ht="15.75" x14ac:dyDescent="0.25">
      <c r="A69" s="13"/>
      <c r="B69" s="37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107.25" customHeight="1" x14ac:dyDescent="0.25">
      <c r="A70" s="13"/>
      <c r="B70" s="37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s="14" customFormat="1" ht="15.75" x14ac:dyDescent="0.25">
      <c r="A71" s="56" t="s">
        <v>63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x14ac:dyDescent="0.25">
      <c r="A72" s="45" t="s">
        <v>0</v>
      </c>
      <c r="B72" s="45" t="s">
        <v>1</v>
      </c>
      <c r="C72" s="45" t="s">
        <v>2</v>
      </c>
      <c r="D72" s="42" t="s">
        <v>3</v>
      </c>
      <c r="E72" s="43"/>
      <c r="F72" s="44"/>
      <c r="G72" s="45" t="s">
        <v>16</v>
      </c>
      <c r="H72" s="42" t="s">
        <v>7</v>
      </c>
      <c r="I72" s="43"/>
      <c r="J72" s="43"/>
      <c r="K72" s="43"/>
      <c r="L72" s="43"/>
      <c r="M72" s="44"/>
      <c r="N72" s="42" t="s">
        <v>19</v>
      </c>
      <c r="O72" s="43"/>
      <c r="P72" s="43"/>
      <c r="Q72" s="44"/>
    </row>
    <row r="73" spans="1:17" ht="45.75" customHeight="1" x14ac:dyDescent="0.25">
      <c r="A73" s="46"/>
      <c r="B73" s="46"/>
      <c r="C73" s="46"/>
      <c r="D73" s="7" t="s">
        <v>4</v>
      </c>
      <c r="E73" s="8" t="s">
        <v>5</v>
      </c>
      <c r="F73" s="8" t="s">
        <v>6</v>
      </c>
      <c r="G73" s="46"/>
      <c r="H73" s="6" t="s">
        <v>8</v>
      </c>
      <c r="I73" s="6" t="s">
        <v>9</v>
      </c>
      <c r="J73" s="6" t="s">
        <v>10</v>
      </c>
      <c r="K73" s="33" t="s">
        <v>107</v>
      </c>
      <c r="L73" s="33" t="s">
        <v>108</v>
      </c>
      <c r="M73" s="6" t="s">
        <v>11</v>
      </c>
      <c r="N73" s="6" t="s">
        <v>12</v>
      </c>
      <c r="O73" s="6" t="s">
        <v>13</v>
      </c>
      <c r="P73" s="6" t="s">
        <v>14</v>
      </c>
      <c r="Q73" s="6" t="s">
        <v>15</v>
      </c>
    </row>
    <row r="74" spans="1:17" ht="15.75" x14ac:dyDescent="0.25">
      <c r="A74" s="1"/>
      <c r="B74" s="47" t="s">
        <v>17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9"/>
    </row>
    <row r="75" spans="1:17" ht="31.5" x14ac:dyDescent="0.25">
      <c r="A75" s="3" t="s">
        <v>76</v>
      </c>
      <c r="B75" s="4" t="s">
        <v>64</v>
      </c>
      <c r="C75" s="21">
        <v>200</v>
      </c>
      <c r="D75" s="21">
        <v>8.4</v>
      </c>
      <c r="E75" s="21">
        <v>11.5</v>
      </c>
      <c r="F75" s="21">
        <v>38.799999999999997</v>
      </c>
      <c r="G75" s="21">
        <v>292.10000000000002</v>
      </c>
      <c r="H75" s="21">
        <v>129</v>
      </c>
      <c r="I75" s="21">
        <v>58</v>
      </c>
      <c r="J75" s="21">
        <v>185</v>
      </c>
      <c r="K75" s="21">
        <v>51.6</v>
      </c>
      <c r="L75" s="21">
        <v>3.1</v>
      </c>
      <c r="M75" s="21">
        <v>3</v>
      </c>
      <c r="N75" s="21">
        <v>0.24</v>
      </c>
      <c r="O75" s="21">
        <v>0.13</v>
      </c>
      <c r="P75" s="21">
        <v>0.7</v>
      </c>
      <c r="Q75" s="21">
        <v>0</v>
      </c>
    </row>
    <row r="76" spans="1:17" ht="31.5" x14ac:dyDescent="0.25">
      <c r="A76" s="3" t="s">
        <v>74</v>
      </c>
      <c r="B76" s="4" t="s">
        <v>55</v>
      </c>
      <c r="C76" s="21">
        <v>30</v>
      </c>
      <c r="D76" s="21">
        <v>7.02</v>
      </c>
      <c r="E76" s="21">
        <v>9</v>
      </c>
      <c r="F76" s="21">
        <v>0</v>
      </c>
      <c r="G76" s="21">
        <v>109.1</v>
      </c>
      <c r="H76" s="21">
        <v>300</v>
      </c>
      <c r="I76" s="21">
        <v>14</v>
      </c>
      <c r="J76" s="21">
        <v>163</v>
      </c>
      <c r="K76" s="21">
        <v>0</v>
      </c>
      <c r="L76" s="21">
        <v>0</v>
      </c>
      <c r="M76" s="21">
        <v>0</v>
      </c>
      <c r="N76" s="21">
        <v>0.01</v>
      </c>
      <c r="O76" s="21">
        <v>0.09</v>
      </c>
      <c r="P76" s="21">
        <v>0.09</v>
      </c>
      <c r="Q76" s="21">
        <v>0</v>
      </c>
    </row>
    <row r="77" spans="1:17" s="16" customFormat="1" ht="30" customHeight="1" x14ac:dyDescent="0.25">
      <c r="A77" s="32" t="s">
        <v>93</v>
      </c>
      <c r="B77" s="5" t="s">
        <v>21</v>
      </c>
      <c r="C77" s="15">
        <v>200</v>
      </c>
      <c r="D77" s="15">
        <v>4.5999999999999996</v>
      </c>
      <c r="E77" s="15">
        <v>4.3</v>
      </c>
      <c r="F77" s="15">
        <v>12.4</v>
      </c>
      <c r="G77" s="15">
        <v>106.7</v>
      </c>
      <c r="H77" s="15">
        <v>144</v>
      </c>
      <c r="I77" s="15">
        <v>34</v>
      </c>
      <c r="J77" s="15">
        <v>131</v>
      </c>
      <c r="K77" s="15">
        <v>11.7</v>
      </c>
      <c r="L77" s="15">
        <v>2.2999999999999998</v>
      </c>
      <c r="M77" s="15">
        <v>1</v>
      </c>
      <c r="N77" s="15">
        <v>0</v>
      </c>
      <c r="O77" s="15">
        <v>0.2</v>
      </c>
      <c r="P77" s="15">
        <v>0.2</v>
      </c>
      <c r="Q77" s="15">
        <v>1</v>
      </c>
    </row>
    <row r="78" spans="1:17" s="16" customFormat="1" ht="15.75" customHeight="1" x14ac:dyDescent="0.25">
      <c r="A78" s="17" t="s">
        <v>24</v>
      </c>
      <c r="B78" s="6" t="s">
        <v>50</v>
      </c>
      <c r="C78" s="15">
        <v>30</v>
      </c>
      <c r="D78" s="15">
        <v>2.2799999999999998</v>
      </c>
      <c r="E78" s="15">
        <v>0.24</v>
      </c>
      <c r="F78" s="15">
        <v>14.76</v>
      </c>
      <c r="G78" s="15">
        <v>57.9</v>
      </c>
      <c r="H78" s="15">
        <v>5.7</v>
      </c>
      <c r="I78" s="15">
        <v>3.9</v>
      </c>
      <c r="J78" s="15">
        <v>19.5</v>
      </c>
      <c r="K78" s="15">
        <v>0</v>
      </c>
      <c r="L78" s="15">
        <v>0</v>
      </c>
      <c r="M78" s="15">
        <v>0.36</v>
      </c>
      <c r="N78" s="15">
        <v>3.3000000000000002E-2</v>
      </c>
      <c r="O78" s="15">
        <v>8.9999999999999993E-3</v>
      </c>
      <c r="P78" s="15">
        <v>0.27</v>
      </c>
      <c r="Q78" s="15">
        <v>0</v>
      </c>
    </row>
    <row r="79" spans="1:17" ht="16.5" customHeight="1" x14ac:dyDescent="0.25">
      <c r="A79" s="3" t="s">
        <v>24</v>
      </c>
      <c r="B79" s="5" t="s">
        <v>106</v>
      </c>
      <c r="C79" s="9">
        <v>200</v>
      </c>
      <c r="D79" s="9">
        <v>2.8</v>
      </c>
      <c r="E79" s="9">
        <v>0</v>
      </c>
      <c r="F79" s="9">
        <v>40.799999999999997</v>
      </c>
      <c r="G79" s="9">
        <v>174.4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0.15</v>
      </c>
      <c r="Q79" s="9">
        <v>28.5</v>
      </c>
    </row>
    <row r="80" spans="1:17" ht="15.75" x14ac:dyDescent="0.25">
      <c r="A80" s="2"/>
      <c r="B80" s="11" t="s">
        <v>18</v>
      </c>
      <c r="C80" s="9">
        <f>SUM(C75:C79)</f>
        <v>660</v>
      </c>
      <c r="D80" s="9">
        <f>SUM(D75:D79)</f>
        <v>25.1</v>
      </c>
      <c r="E80" s="9">
        <f t="shared" ref="E80:Q80" si="6">SUM(E75:E79)</f>
        <v>25.04</v>
      </c>
      <c r="F80" s="9">
        <f t="shared" si="6"/>
        <v>106.75999999999999</v>
      </c>
      <c r="G80" s="9">
        <f t="shared" si="6"/>
        <v>740.2</v>
      </c>
      <c r="H80" s="9">
        <f t="shared" si="6"/>
        <v>578.70000000000005</v>
      </c>
      <c r="I80" s="9">
        <f t="shared" si="6"/>
        <v>109.9</v>
      </c>
      <c r="J80" s="9">
        <f t="shared" si="6"/>
        <v>498.5</v>
      </c>
      <c r="K80" s="9">
        <f t="shared" si="6"/>
        <v>63.3</v>
      </c>
      <c r="L80" s="9">
        <f t="shared" si="6"/>
        <v>5.4</v>
      </c>
      <c r="M80" s="9">
        <f t="shared" si="6"/>
        <v>4.3600000000000003</v>
      </c>
      <c r="N80" s="9">
        <f t="shared" si="6"/>
        <v>0.28300000000000003</v>
      </c>
      <c r="O80" s="9">
        <f t="shared" si="6"/>
        <v>0.42900000000000005</v>
      </c>
      <c r="P80" s="9">
        <f t="shared" si="6"/>
        <v>1.41</v>
      </c>
      <c r="Q80" s="9">
        <f t="shared" si="6"/>
        <v>29.5</v>
      </c>
    </row>
    <row r="82" spans="1:17" s="14" customFormat="1" ht="15.75" x14ac:dyDescent="0.25">
      <c r="A82" s="56" t="s">
        <v>66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x14ac:dyDescent="0.25">
      <c r="A83" s="45" t="s">
        <v>0</v>
      </c>
      <c r="B83" s="45" t="s">
        <v>1</v>
      </c>
      <c r="C83" s="45" t="s">
        <v>2</v>
      </c>
      <c r="D83" s="42" t="s">
        <v>3</v>
      </c>
      <c r="E83" s="43"/>
      <c r="F83" s="44"/>
      <c r="G83" s="45" t="s">
        <v>16</v>
      </c>
      <c r="H83" s="42" t="s">
        <v>7</v>
      </c>
      <c r="I83" s="43"/>
      <c r="J83" s="43"/>
      <c r="K83" s="43"/>
      <c r="L83" s="43"/>
      <c r="M83" s="44"/>
      <c r="N83" s="42" t="s">
        <v>19</v>
      </c>
      <c r="O83" s="43"/>
      <c r="P83" s="43"/>
      <c r="Q83" s="44"/>
    </row>
    <row r="84" spans="1:17" ht="45.75" customHeight="1" x14ac:dyDescent="0.25">
      <c r="A84" s="46"/>
      <c r="B84" s="46"/>
      <c r="C84" s="46"/>
      <c r="D84" s="7" t="s">
        <v>4</v>
      </c>
      <c r="E84" s="8" t="s">
        <v>5</v>
      </c>
      <c r="F84" s="8" t="s">
        <v>6</v>
      </c>
      <c r="G84" s="46"/>
      <c r="H84" s="6" t="s">
        <v>8</v>
      </c>
      <c r="I84" s="6" t="s">
        <v>9</v>
      </c>
      <c r="J84" s="6" t="s">
        <v>10</v>
      </c>
      <c r="K84" s="33" t="s">
        <v>107</v>
      </c>
      <c r="L84" s="33" t="s">
        <v>108</v>
      </c>
      <c r="M84" s="6" t="s">
        <v>11</v>
      </c>
      <c r="N84" s="6" t="s">
        <v>12</v>
      </c>
      <c r="O84" s="6" t="s">
        <v>13</v>
      </c>
      <c r="P84" s="6" t="s">
        <v>14</v>
      </c>
      <c r="Q84" s="6" t="s">
        <v>15</v>
      </c>
    </row>
    <row r="85" spans="1:17" ht="15.75" x14ac:dyDescent="0.25">
      <c r="A85" s="1"/>
      <c r="B85" s="47" t="s">
        <v>17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9"/>
    </row>
    <row r="86" spans="1:17" ht="31.5" x14ac:dyDescent="0.25">
      <c r="A86" s="3" t="s">
        <v>73</v>
      </c>
      <c r="B86" s="4" t="s">
        <v>72</v>
      </c>
      <c r="C86" s="9">
        <v>250</v>
      </c>
      <c r="D86" s="9">
        <f>27.3*250/200</f>
        <v>34.125</v>
      </c>
      <c r="E86" s="9">
        <f>7.9*250/200</f>
        <v>9.875</v>
      </c>
      <c r="F86" s="9">
        <f>34.7*250/200</f>
        <v>43.375</v>
      </c>
      <c r="G86" s="9">
        <f>318.8*250/200</f>
        <v>398.5</v>
      </c>
      <c r="H86" s="9">
        <f>29*250/200</f>
        <v>36.25</v>
      </c>
      <c r="I86" s="9">
        <f>93*250/200</f>
        <v>116.25</v>
      </c>
      <c r="J86" s="9">
        <f>212*250/200</f>
        <v>265</v>
      </c>
      <c r="K86" s="9">
        <f>23.1*250/200</f>
        <v>28.875</v>
      </c>
      <c r="L86" s="9">
        <f>27.5*250/200</f>
        <v>34.375</v>
      </c>
      <c r="M86" s="9">
        <f>2*250/200</f>
        <v>2.5</v>
      </c>
      <c r="N86" s="9">
        <f>0.08*250/200</f>
        <v>0.1</v>
      </c>
      <c r="O86" s="9">
        <f>0.08*250/200</f>
        <v>0.1</v>
      </c>
      <c r="P86" s="9">
        <f>7.3*250/200</f>
        <v>9.125</v>
      </c>
      <c r="Q86" s="9">
        <f>2*250/200</f>
        <v>2.5</v>
      </c>
    </row>
    <row r="87" spans="1:17" s="16" customFormat="1" ht="15.75" customHeight="1" x14ac:dyDescent="0.25">
      <c r="A87" s="17" t="s">
        <v>24</v>
      </c>
      <c r="B87" s="6" t="s">
        <v>50</v>
      </c>
      <c r="C87" s="15">
        <v>30</v>
      </c>
      <c r="D87" s="15">
        <v>2.2799999999999998</v>
      </c>
      <c r="E87" s="15">
        <v>0.24</v>
      </c>
      <c r="F87" s="15">
        <v>14.76</v>
      </c>
      <c r="G87" s="15">
        <v>57.9</v>
      </c>
      <c r="H87" s="15">
        <v>5.7</v>
      </c>
      <c r="I87" s="15">
        <v>3.9</v>
      </c>
      <c r="J87" s="15">
        <v>19.5</v>
      </c>
      <c r="K87" s="15">
        <v>0</v>
      </c>
      <c r="L87" s="15">
        <v>0</v>
      </c>
      <c r="M87" s="15">
        <v>0.36</v>
      </c>
      <c r="N87" s="15">
        <v>3.3000000000000002E-2</v>
      </c>
      <c r="O87" s="15">
        <v>8.9999999999999993E-3</v>
      </c>
      <c r="P87" s="15">
        <v>0.27</v>
      </c>
      <c r="Q87" s="15">
        <v>0</v>
      </c>
    </row>
    <row r="88" spans="1:17" ht="17.25" customHeight="1" x14ac:dyDescent="0.25">
      <c r="A88" s="3" t="s">
        <v>24</v>
      </c>
      <c r="B88" s="5" t="s">
        <v>67</v>
      </c>
      <c r="C88" s="9">
        <v>30</v>
      </c>
      <c r="D88" s="9">
        <v>0.1</v>
      </c>
      <c r="E88" s="9">
        <v>0</v>
      </c>
      <c r="F88" s="9">
        <v>19.5</v>
      </c>
      <c r="G88" s="9">
        <v>71.8</v>
      </c>
      <c r="H88" s="9">
        <v>4</v>
      </c>
      <c r="I88" s="9">
        <v>2</v>
      </c>
      <c r="J88" s="9">
        <v>3</v>
      </c>
      <c r="K88" s="9">
        <v>0</v>
      </c>
      <c r="L88" s="9">
        <v>0</v>
      </c>
      <c r="M88" s="9">
        <v>0.4</v>
      </c>
      <c r="N88" s="9">
        <v>0</v>
      </c>
      <c r="O88" s="9">
        <v>0.01</v>
      </c>
      <c r="P88" s="9">
        <v>0</v>
      </c>
      <c r="Q88" s="9">
        <v>0.2</v>
      </c>
    </row>
    <row r="89" spans="1:17" ht="17.25" customHeight="1" x14ac:dyDescent="0.25">
      <c r="A89" s="32" t="s">
        <v>24</v>
      </c>
      <c r="B89" s="5" t="s">
        <v>104</v>
      </c>
      <c r="C89" s="15">
        <v>75</v>
      </c>
      <c r="D89" s="15">
        <v>0.3</v>
      </c>
      <c r="E89" s="15">
        <v>0.3</v>
      </c>
      <c r="F89" s="15">
        <v>7.35</v>
      </c>
      <c r="G89" s="15">
        <v>35.25</v>
      </c>
      <c r="H89" s="15">
        <v>12</v>
      </c>
      <c r="I89" s="15">
        <v>6.75</v>
      </c>
      <c r="J89" s="15">
        <v>8.25</v>
      </c>
      <c r="K89" s="15">
        <v>0</v>
      </c>
      <c r="L89" s="15">
        <v>0</v>
      </c>
      <c r="M89" s="15">
        <v>1.65</v>
      </c>
      <c r="N89" s="15">
        <v>2.2499999999999999E-2</v>
      </c>
      <c r="O89" s="15">
        <v>1.4999999999999999E-2</v>
      </c>
      <c r="P89" s="15">
        <v>0.22500000000000001</v>
      </c>
      <c r="Q89" s="15">
        <v>7.5</v>
      </c>
    </row>
    <row r="90" spans="1:17" ht="45.75" customHeight="1" x14ac:dyDescent="0.25">
      <c r="A90" s="3" t="s">
        <v>89</v>
      </c>
      <c r="B90" s="5" t="s">
        <v>90</v>
      </c>
      <c r="C90" s="9">
        <v>200</v>
      </c>
      <c r="D90" s="9">
        <v>0.2</v>
      </c>
      <c r="E90" s="9">
        <v>0</v>
      </c>
      <c r="F90" s="9">
        <v>6.6</v>
      </c>
      <c r="G90" s="9">
        <v>27.6</v>
      </c>
      <c r="H90" s="9">
        <v>6</v>
      </c>
      <c r="I90" s="9">
        <v>5</v>
      </c>
      <c r="J90" s="9">
        <v>8</v>
      </c>
      <c r="K90" s="9">
        <v>0</v>
      </c>
      <c r="L90" s="9">
        <v>0</v>
      </c>
      <c r="M90" s="9">
        <v>1</v>
      </c>
      <c r="N90" s="9">
        <v>0</v>
      </c>
      <c r="O90" s="9">
        <v>0.01</v>
      </c>
      <c r="P90" s="9">
        <v>7.0000000000000007E-2</v>
      </c>
      <c r="Q90" s="9">
        <v>1</v>
      </c>
    </row>
    <row r="91" spans="1:17" ht="15.75" x14ac:dyDescent="0.25">
      <c r="A91" s="2"/>
      <c r="B91" s="11" t="s">
        <v>18</v>
      </c>
      <c r="C91" s="9">
        <f t="shared" ref="C91:Q91" si="7">SUM(C86:C90)</f>
        <v>585</v>
      </c>
      <c r="D91" s="9">
        <f t="shared" si="7"/>
        <v>37.005000000000003</v>
      </c>
      <c r="E91" s="9">
        <f t="shared" si="7"/>
        <v>10.415000000000001</v>
      </c>
      <c r="F91" s="9">
        <f t="shared" si="7"/>
        <v>91.58499999999998</v>
      </c>
      <c r="G91" s="9">
        <f t="shared" si="7"/>
        <v>591.04999999999995</v>
      </c>
      <c r="H91" s="9">
        <f t="shared" si="7"/>
        <v>63.95</v>
      </c>
      <c r="I91" s="9">
        <f t="shared" si="7"/>
        <v>133.9</v>
      </c>
      <c r="J91" s="9">
        <f t="shared" si="7"/>
        <v>303.75</v>
      </c>
      <c r="K91" s="9">
        <f t="shared" si="7"/>
        <v>28.875</v>
      </c>
      <c r="L91" s="9">
        <f t="shared" si="7"/>
        <v>34.375</v>
      </c>
      <c r="M91" s="9">
        <f t="shared" si="7"/>
        <v>5.91</v>
      </c>
      <c r="N91" s="9">
        <f t="shared" si="7"/>
        <v>0.1555</v>
      </c>
      <c r="O91" s="9">
        <f t="shared" si="7"/>
        <v>0.14400000000000002</v>
      </c>
      <c r="P91" s="9">
        <f t="shared" si="7"/>
        <v>9.69</v>
      </c>
      <c r="Q91" s="9">
        <f t="shared" si="7"/>
        <v>11.2</v>
      </c>
    </row>
    <row r="92" spans="1:17" ht="15.75" x14ac:dyDescent="0.25">
      <c r="A92" s="13"/>
      <c r="B92" s="37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26.75" customHeight="1" x14ac:dyDescent="0.25">
      <c r="A93" s="13"/>
      <c r="B93" s="37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s="14" customFormat="1" ht="15.75" x14ac:dyDescent="0.25">
      <c r="A94" s="56" t="s">
        <v>68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x14ac:dyDescent="0.25">
      <c r="A95" s="45" t="s">
        <v>0</v>
      </c>
      <c r="B95" s="45" t="s">
        <v>1</v>
      </c>
      <c r="C95" s="45" t="s">
        <v>2</v>
      </c>
      <c r="D95" s="42" t="s">
        <v>3</v>
      </c>
      <c r="E95" s="43"/>
      <c r="F95" s="44"/>
      <c r="G95" s="45" t="s">
        <v>16</v>
      </c>
      <c r="H95" s="42" t="s">
        <v>7</v>
      </c>
      <c r="I95" s="43"/>
      <c r="J95" s="43"/>
      <c r="K95" s="43"/>
      <c r="L95" s="43"/>
      <c r="M95" s="44"/>
      <c r="N95" s="42" t="s">
        <v>19</v>
      </c>
      <c r="O95" s="43"/>
      <c r="P95" s="43"/>
      <c r="Q95" s="44"/>
    </row>
    <row r="96" spans="1:17" ht="45.75" customHeight="1" x14ac:dyDescent="0.25">
      <c r="A96" s="46"/>
      <c r="B96" s="46"/>
      <c r="C96" s="46"/>
      <c r="D96" s="7" t="s">
        <v>4</v>
      </c>
      <c r="E96" s="8" t="s">
        <v>5</v>
      </c>
      <c r="F96" s="8" t="s">
        <v>6</v>
      </c>
      <c r="G96" s="46"/>
      <c r="H96" s="6" t="s">
        <v>8</v>
      </c>
      <c r="I96" s="6" t="s">
        <v>9</v>
      </c>
      <c r="J96" s="6" t="s">
        <v>10</v>
      </c>
      <c r="K96" s="33" t="s">
        <v>107</v>
      </c>
      <c r="L96" s="33" t="s">
        <v>108</v>
      </c>
      <c r="M96" s="6" t="s">
        <v>11</v>
      </c>
      <c r="N96" s="6" t="s">
        <v>12</v>
      </c>
      <c r="O96" s="6" t="s">
        <v>13</v>
      </c>
      <c r="P96" s="6" t="s">
        <v>14</v>
      </c>
      <c r="Q96" s="6" t="s">
        <v>15</v>
      </c>
    </row>
    <row r="97" spans="1:17" ht="15.75" x14ac:dyDescent="0.25">
      <c r="A97" s="1"/>
      <c r="B97" s="47" t="s">
        <v>17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9"/>
    </row>
    <row r="98" spans="1:17" ht="31.5" x14ac:dyDescent="0.25">
      <c r="A98" s="3" t="s">
        <v>82</v>
      </c>
      <c r="B98" s="4" t="s">
        <v>69</v>
      </c>
      <c r="C98" s="21">
        <v>250</v>
      </c>
      <c r="D98" s="21">
        <f>14.72*250/200</f>
        <v>18.399999999999999</v>
      </c>
      <c r="E98" s="21">
        <f>21.69*250/200</f>
        <v>27.112500000000001</v>
      </c>
      <c r="F98" s="21">
        <f>6.82*250/200</f>
        <v>8.5250000000000004</v>
      </c>
      <c r="G98" s="21">
        <f>281.2*250/200</f>
        <v>351.5</v>
      </c>
      <c r="H98" s="21">
        <f>146*250/200</f>
        <v>182.5</v>
      </c>
      <c r="I98" s="21">
        <f>36*250/200</f>
        <v>45</v>
      </c>
      <c r="J98" s="21">
        <f>250*250/200</f>
        <v>312.5</v>
      </c>
      <c r="K98" s="21">
        <f>50*250/200</f>
        <v>62.5</v>
      </c>
      <c r="L98" s="21">
        <f>29.1*250/200</f>
        <v>36.375</v>
      </c>
      <c r="M98" s="21">
        <f>3*250/200</f>
        <v>3.75</v>
      </c>
      <c r="N98" s="21">
        <f>0.08*250/200</f>
        <v>0.1</v>
      </c>
      <c r="O98" s="21">
        <f>0.46*250/200</f>
        <v>0.57499999999999996</v>
      </c>
      <c r="P98" s="21">
        <f>0.6*250/200</f>
        <v>0.75</v>
      </c>
      <c r="Q98" s="21">
        <f>1*250/200</f>
        <v>1.25</v>
      </c>
    </row>
    <row r="99" spans="1:17" s="16" customFormat="1" ht="15.75" customHeight="1" x14ac:dyDescent="0.25">
      <c r="A99" s="17" t="s">
        <v>24</v>
      </c>
      <c r="B99" s="6" t="s">
        <v>50</v>
      </c>
      <c r="C99" s="15">
        <v>30</v>
      </c>
      <c r="D99" s="15">
        <v>2.2799999999999998</v>
      </c>
      <c r="E99" s="15">
        <v>0.24</v>
      </c>
      <c r="F99" s="15">
        <v>14.76</v>
      </c>
      <c r="G99" s="15">
        <v>57.9</v>
      </c>
      <c r="H99" s="15">
        <v>5.7</v>
      </c>
      <c r="I99" s="15">
        <v>3.9</v>
      </c>
      <c r="J99" s="15">
        <v>19.5</v>
      </c>
      <c r="K99" s="15">
        <v>0</v>
      </c>
      <c r="L99" s="15">
        <v>0</v>
      </c>
      <c r="M99" s="15">
        <v>0.36</v>
      </c>
      <c r="N99" s="15">
        <v>3.3000000000000002E-2</v>
      </c>
      <c r="O99" s="15">
        <v>8.9999999999999993E-3</v>
      </c>
      <c r="P99" s="15">
        <v>0.27</v>
      </c>
      <c r="Q99" s="15">
        <v>0</v>
      </c>
    </row>
    <row r="100" spans="1:17" s="16" customFormat="1" ht="30" customHeight="1" x14ac:dyDescent="0.25">
      <c r="A100" s="17" t="s">
        <v>75</v>
      </c>
      <c r="B100" s="5" t="s">
        <v>51</v>
      </c>
      <c r="C100" s="15">
        <v>20</v>
      </c>
      <c r="D100" s="15">
        <f>0.1*2</f>
        <v>0.2</v>
      </c>
      <c r="E100" s="15">
        <f>8.3*2</f>
        <v>16.600000000000001</v>
      </c>
      <c r="F100" s="15">
        <f>0.1*2</f>
        <v>0.2</v>
      </c>
      <c r="G100" s="15">
        <f>74.9*2</f>
        <v>149.80000000000001</v>
      </c>
      <c r="H100" s="15">
        <f>2*2</f>
        <v>4</v>
      </c>
      <c r="I100" s="15">
        <v>0</v>
      </c>
      <c r="J100" s="15">
        <v>4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f>0.01*2</f>
        <v>0.02</v>
      </c>
      <c r="Q100" s="15">
        <v>0</v>
      </c>
    </row>
    <row r="101" spans="1:17" ht="33" customHeight="1" x14ac:dyDescent="0.25">
      <c r="A101" s="3" t="s">
        <v>94</v>
      </c>
      <c r="B101" s="5" t="s">
        <v>65</v>
      </c>
      <c r="C101" s="9">
        <v>200</v>
      </c>
      <c r="D101" s="9">
        <v>3.8</v>
      </c>
      <c r="E101" s="9">
        <v>3.5</v>
      </c>
      <c r="F101" s="9">
        <v>11.1</v>
      </c>
      <c r="G101" s="9">
        <v>90.8</v>
      </c>
      <c r="H101" s="9">
        <v>112</v>
      </c>
      <c r="I101" s="9">
        <v>30</v>
      </c>
      <c r="J101" s="9">
        <v>107</v>
      </c>
      <c r="K101" s="9">
        <v>0</v>
      </c>
      <c r="L101" s="9">
        <v>0</v>
      </c>
      <c r="M101" s="9">
        <v>1</v>
      </c>
      <c r="N101" s="9">
        <v>0.02</v>
      </c>
      <c r="O101" s="9">
        <v>0.11</v>
      </c>
      <c r="P101" s="9">
        <v>0.2</v>
      </c>
      <c r="Q101" s="9">
        <v>0</v>
      </c>
    </row>
    <row r="102" spans="1:17" ht="33" customHeight="1" x14ac:dyDescent="0.25">
      <c r="A102" s="3" t="s">
        <v>24</v>
      </c>
      <c r="B102" s="5" t="s">
        <v>105</v>
      </c>
      <c r="C102" s="9">
        <v>75</v>
      </c>
      <c r="D102" s="9">
        <v>0.6</v>
      </c>
      <c r="E102" s="9">
        <v>0</v>
      </c>
      <c r="F102" s="9">
        <v>5.9</v>
      </c>
      <c r="G102" s="9">
        <v>25.7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1.8</v>
      </c>
      <c r="Q102" s="9">
        <v>20</v>
      </c>
    </row>
    <row r="103" spans="1:17" ht="15.75" x14ac:dyDescent="0.25">
      <c r="A103" s="2"/>
      <c r="B103" s="11" t="s">
        <v>18</v>
      </c>
      <c r="C103" s="9">
        <f t="shared" ref="C103:Q103" si="8">SUM(C98:C101)</f>
        <v>500</v>
      </c>
      <c r="D103" s="9">
        <f t="shared" si="8"/>
        <v>24.68</v>
      </c>
      <c r="E103" s="9">
        <f t="shared" si="8"/>
        <v>47.452500000000001</v>
      </c>
      <c r="F103" s="9">
        <f t="shared" si="8"/>
        <v>34.585000000000001</v>
      </c>
      <c r="G103" s="9">
        <f t="shared" si="8"/>
        <v>650</v>
      </c>
      <c r="H103" s="9">
        <f t="shared" si="8"/>
        <v>304.2</v>
      </c>
      <c r="I103" s="9">
        <f t="shared" si="8"/>
        <v>78.900000000000006</v>
      </c>
      <c r="J103" s="9">
        <f t="shared" si="8"/>
        <v>443</v>
      </c>
      <c r="K103" s="9">
        <f t="shared" si="8"/>
        <v>62.5</v>
      </c>
      <c r="L103" s="9">
        <f t="shared" si="8"/>
        <v>36.375</v>
      </c>
      <c r="M103" s="9">
        <f t="shared" si="8"/>
        <v>5.1100000000000003</v>
      </c>
      <c r="N103" s="9">
        <f t="shared" si="8"/>
        <v>0.153</v>
      </c>
      <c r="O103" s="9">
        <f t="shared" si="8"/>
        <v>0.69399999999999995</v>
      </c>
      <c r="P103" s="9">
        <f t="shared" si="8"/>
        <v>1.24</v>
      </c>
      <c r="Q103" s="9">
        <f t="shared" si="8"/>
        <v>1.25</v>
      </c>
    </row>
    <row r="105" spans="1:17" s="14" customFormat="1" ht="15.75" x14ac:dyDescent="0.25">
      <c r="A105" s="56" t="s">
        <v>70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x14ac:dyDescent="0.25">
      <c r="A106" s="45" t="s">
        <v>0</v>
      </c>
      <c r="B106" s="45" t="s">
        <v>1</v>
      </c>
      <c r="C106" s="45" t="s">
        <v>2</v>
      </c>
      <c r="D106" s="42" t="s">
        <v>3</v>
      </c>
      <c r="E106" s="43"/>
      <c r="F106" s="44"/>
      <c r="G106" s="45" t="s">
        <v>16</v>
      </c>
      <c r="H106" s="42" t="s">
        <v>7</v>
      </c>
      <c r="I106" s="43"/>
      <c r="J106" s="43"/>
      <c r="K106" s="43"/>
      <c r="L106" s="43"/>
      <c r="M106" s="44"/>
      <c r="N106" s="42" t="s">
        <v>19</v>
      </c>
      <c r="O106" s="43"/>
      <c r="P106" s="43"/>
      <c r="Q106" s="44"/>
    </row>
    <row r="107" spans="1:17" ht="45.75" customHeight="1" x14ac:dyDescent="0.25">
      <c r="A107" s="46"/>
      <c r="B107" s="46"/>
      <c r="C107" s="46"/>
      <c r="D107" s="7" t="s">
        <v>4</v>
      </c>
      <c r="E107" s="8" t="s">
        <v>5</v>
      </c>
      <c r="F107" s="8" t="s">
        <v>6</v>
      </c>
      <c r="G107" s="46"/>
      <c r="H107" s="6" t="s">
        <v>8</v>
      </c>
      <c r="I107" s="6" t="s">
        <v>9</v>
      </c>
      <c r="J107" s="6" t="s">
        <v>10</v>
      </c>
      <c r="K107" s="33" t="s">
        <v>107</v>
      </c>
      <c r="L107" s="33" t="s">
        <v>108</v>
      </c>
      <c r="M107" s="6" t="s">
        <v>11</v>
      </c>
      <c r="N107" s="6" t="s">
        <v>12</v>
      </c>
      <c r="O107" s="6" t="s">
        <v>13</v>
      </c>
      <c r="P107" s="6" t="s">
        <v>14</v>
      </c>
      <c r="Q107" s="6" t="s">
        <v>15</v>
      </c>
    </row>
    <row r="108" spans="1:17" ht="15.75" x14ac:dyDescent="0.25">
      <c r="A108" s="1"/>
      <c r="B108" s="47" t="s">
        <v>17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9"/>
    </row>
    <row r="109" spans="1:17" ht="31.5" x14ac:dyDescent="0.25">
      <c r="A109" s="3" t="s">
        <v>78</v>
      </c>
      <c r="B109" s="4" t="s">
        <v>71</v>
      </c>
      <c r="C109" s="21">
        <v>150</v>
      </c>
      <c r="D109" s="21">
        <v>5</v>
      </c>
      <c r="E109" s="21">
        <v>5.3</v>
      </c>
      <c r="F109" s="21">
        <v>35</v>
      </c>
      <c r="G109" s="21">
        <v>208</v>
      </c>
      <c r="H109" s="21">
        <v>59</v>
      </c>
      <c r="I109" s="21">
        <v>7</v>
      </c>
      <c r="J109" s="21">
        <v>40</v>
      </c>
      <c r="K109" s="21">
        <v>20</v>
      </c>
      <c r="L109" s="21">
        <v>0.1</v>
      </c>
      <c r="M109" s="21">
        <v>1</v>
      </c>
      <c r="N109" s="21">
        <v>0.06</v>
      </c>
      <c r="O109" s="21">
        <v>0.03</v>
      </c>
      <c r="P109" s="21">
        <v>0.5</v>
      </c>
      <c r="Q109" s="21">
        <v>0</v>
      </c>
    </row>
    <row r="110" spans="1:17" ht="33.75" customHeight="1" x14ac:dyDescent="0.25">
      <c r="A110" s="17" t="s">
        <v>100</v>
      </c>
      <c r="B110" s="6" t="s">
        <v>101</v>
      </c>
      <c r="C110" s="10">
        <v>75</v>
      </c>
      <c r="D110" s="9">
        <v>14.1</v>
      </c>
      <c r="E110" s="9">
        <v>11.9</v>
      </c>
      <c r="F110" s="9">
        <v>11.4</v>
      </c>
      <c r="G110" s="9">
        <v>209</v>
      </c>
      <c r="H110" s="9">
        <v>43</v>
      </c>
      <c r="I110" s="9">
        <v>25</v>
      </c>
      <c r="J110" s="9">
        <v>165</v>
      </c>
      <c r="K110" s="9">
        <v>14.2</v>
      </c>
      <c r="L110" s="9">
        <v>2.1</v>
      </c>
      <c r="M110" s="9">
        <v>1</v>
      </c>
      <c r="N110" s="9">
        <v>0.11</v>
      </c>
      <c r="O110" s="9">
        <v>0.14000000000000001</v>
      </c>
      <c r="P110" s="9">
        <v>2.2000000000000002</v>
      </c>
      <c r="Q110" s="9">
        <v>0</v>
      </c>
    </row>
    <row r="111" spans="1:17" s="16" customFormat="1" ht="15.75" customHeight="1" x14ac:dyDescent="0.25">
      <c r="A111" s="17" t="s">
        <v>24</v>
      </c>
      <c r="B111" s="6" t="s">
        <v>50</v>
      </c>
      <c r="C111" s="15">
        <v>30</v>
      </c>
      <c r="D111" s="15">
        <v>2.2799999999999998</v>
      </c>
      <c r="E111" s="15">
        <v>0.24</v>
      </c>
      <c r="F111" s="15">
        <v>14.76</v>
      </c>
      <c r="G111" s="15">
        <v>57.9</v>
      </c>
      <c r="H111" s="15">
        <v>5.7</v>
      </c>
      <c r="I111" s="15">
        <v>3.9</v>
      </c>
      <c r="J111" s="15">
        <v>19.5</v>
      </c>
      <c r="K111" s="15">
        <v>0</v>
      </c>
      <c r="L111" s="15">
        <v>0</v>
      </c>
      <c r="M111" s="15">
        <v>0.36</v>
      </c>
      <c r="N111" s="15">
        <v>3.3000000000000002E-2</v>
      </c>
      <c r="O111" s="15">
        <v>8.9999999999999993E-3</v>
      </c>
      <c r="P111" s="15">
        <v>0.27</v>
      </c>
      <c r="Q111" s="15">
        <v>0</v>
      </c>
    </row>
    <row r="112" spans="1:17" s="16" customFormat="1" ht="45.75" customHeight="1" x14ac:dyDescent="0.25">
      <c r="A112" s="17" t="s">
        <v>91</v>
      </c>
      <c r="B112" s="6" t="s">
        <v>92</v>
      </c>
      <c r="C112" s="15">
        <v>200</v>
      </c>
      <c r="D112" s="15">
        <v>1.5</v>
      </c>
      <c r="E112" s="15">
        <v>1.4</v>
      </c>
      <c r="F112" s="15">
        <v>8.6</v>
      </c>
      <c r="G112" s="15">
        <v>52.9</v>
      </c>
      <c r="H112" s="15">
        <v>57</v>
      </c>
      <c r="I112" s="15">
        <v>10</v>
      </c>
      <c r="J112" s="15">
        <v>47</v>
      </c>
      <c r="K112" s="15">
        <v>4.5</v>
      </c>
      <c r="L112" s="15">
        <v>0.9</v>
      </c>
      <c r="M112" s="15">
        <v>1</v>
      </c>
      <c r="N112" s="15">
        <v>0</v>
      </c>
      <c r="O112" s="15">
        <v>0.06</v>
      </c>
      <c r="P112" s="15">
        <v>0.1</v>
      </c>
      <c r="Q112" s="15">
        <v>0</v>
      </c>
    </row>
    <row r="113" spans="1:17" ht="15.75" x14ac:dyDescent="0.25">
      <c r="A113" s="2"/>
      <c r="B113" s="11" t="s">
        <v>18</v>
      </c>
      <c r="C113" s="9">
        <f t="shared" ref="C113:Q113" si="9">SUM(C109:C112)</f>
        <v>455</v>
      </c>
      <c r="D113" s="9">
        <f t="shared" si="9"/>
        <v>22.880000000000003</v>
      </c>
      <c r="E113" s="9">
        <f t="shared" si="9"/>
        <v>18.839999999999996</v>
      </c>
      <c r="F113" s="9">
        <f t="shared" si="9"/>
        <v>69.759999999999991</v>
      </c>
      <c r="G113" s="9">
        <f t="shared" si="9"/>
        <v>527.79999999999995</v>
      </c>
      <c r="H113" s="9">
        <f t="shared" si="9"/>
        <v>164.7</v>
      </c>
      <c r="I113" s="9">
        <f t="shared" si="9"/>
        <v>45.9</v>
      </c>
      <c r="J113" s="9">
        <f t="shared" si="9"/>
        <v>271.5</v>
      </c>
      <c r="K113" s="9">
        <f t="shared" si="9"/>
        <v>38.700000000000003</v>
      </c>
      <c r="L113" s="9">
        <f t="shared" si="9"/>
        <v>3.1</v>
      </c>
      <c r="M113" s="9">
        <f t="shared" si="9"/>
        <v>3.36</v>
      </c>
      <c r="N113" s="9">
        <f t="shared" si="9"/>
        <v>0.20299999999999999</v>
      </c>
      <c r="O113" s="9">
        <f t="shared" si="9"/>
        <v>0.23900000000000002</v>
      </c>
      <c r="P113" s="9">
        <f t="shared" si="9"/>
        <v>3.0700000000000003</v>
      </c>
      <c r="Q113" s="9">
        <f t="shared" si="9"/>
        <v>0</v>
      </c>
    </row>
    <row r="114" spans="1:17" ht="43.5" x14ac:dyDescent="0.25">
      <c r="A114" s="2"/>
      <c r="B114" s="11" t="s">
        <v>109</v>
      </c>
      <c r="C114" s="34">
        <f t="shared" ref="C114:Q114" si="10">(C10+C22+C33+C45+C56+C68+C80+C91+C103+C113)/10</f>
        <v>537.5</v>
      </c>
      <c r="D114" s="34">
        <f t="shared" si="10"/>
        <v>24.3325</v>
      </c>
      <c r="E114" s="34">
        <f t="shared" si="10"/>
        <v>23.52075</v>
      </c>
      <c r="F114" s="34">
        <f t="shared" si="10"/>
        <v>70.33</v>
      </c>
      <c r="G114" s="34">
        <f t="shared" si="10"/>
        <v>577.20299999999997</v>
      </c>
      <c r="H114" s="34">
        <f t="shared" si="10"/>
        <v>253.93499999999995</v>
      </c>
      <c r="I114" s="34">
        <f t="shared" si="10"/>
        <v>81.014999999999986</v>
      </c>
      <c r="J114" s="34">
        <f t="shared" si="10"/>
        <v>333.09000000000003</v>
      </c>
      <c r="K114" s="34">
        <f t="shared" si="10"/>
        <v>64.157499999999999</v>
      </c>
      <c r="L114" s="34">
        <f t="shared" si="10"/>
        <v>18.695</v>
      </c>
      <c r="M114" s="34">
        <f t="shared" si="10"/>
        <v>4.0949999999999998</v>
      </c>
      <c r="N114" s="34">
        <f t="shared" si="10"/>
        <v>0.20849999999999999</v>
      </c>
      <c r="O114" s="34">
        <f t="shared" si="10"/>
        <v>0.32110000000000005</v>
      </c>
      <c r="P114" s="34">
        <f t="shared" si="10"/>
        <v>2.9605000000000001</v>
      </c>
      <c r="Q114" s="34">
        <f t="shared" si="10"/>
        <v>11.055</v>
      </c>
    </row>
    <row r="120" spans="1:17" ht="63" customHeight="1" x14ac:dyDescent="0.25">
      <c r="N120" s="50" t="s">
        <v>135</v>
      </c>
      <c r="O120" s="50"/>
      <c r="P120" s="50"/>
      <c r="Q120" s="50"/>
    </row>
    <row r="121" spans="1:17" x14ac:dyDescent="0.25">
      <c r="N121" s="50" t="s">
        <v>136</v>
      </c>
      <c r="O121" s="50"/>
      <c r="P121" s="50"/>
      <c r="Q121" s="50"/>
    </row>
    <row r="122" spans="1:17" x14ac:dyDescent="0.25">
      <c r="B122" s="40" t="s">
        <v>138</v>
      </c>
      <c r="N122" s="50" t="s">
        <v>139</v>
      </c>
      <c r="O122" s="50"/>
      <c r="P122" s="50"/>
      <c r="Q122" s="50"/>
    </row>
    <row r="123" spans="1:17" ht="15.75" customHeight="1" x14ac:dyDescent="0.25">
      <c r="N123" s="52" t="s">
        <v>137</v>
      </c>
      <c r="O123" s="52"/>
      <c r="P123" s="52"/>
      <c r="Q123" s="52"/>
    </row>
    <row r="124" spans="1:17" x14ac:dyDescent="0.25">
      <c r="A124" s="45" t="s">
        <v>0</v>
      </c>
      <c r="B124" s="45" t="s">
        <v>1</v>
      </c>
      <c r="C124" s="45" t="s">
        <v>2</v>
      </c>
      <c r="D124" s="42" t="s">
        <v>3</v>
      </c>
      <c r="E124" s="43"/>
      <c r="F124" s="44"/>
      <c r="G124" s="45" t="s">
        <v>16</v>
      </c>
      <c r="H124" s="42" t="s">
        <v>7</v>
      </c>
      <c r="I124" s="43"/>
      <c r="J124" s="43"/>
      <c r="K124" s="43"/>
      <c r="L124" s="43"/>
      <c r="M124" s="44"/>
      <c r="N124" s="42" t="s">
        <v>19</v>
      </c>
      <c r="O124" s="43"/>
      <c r="P124" s="43"/>
      <c r="Q124" s="44"/>
    </row>
    <row r="125" spans="1:17" ht="30" x14ac:dyDescent="0.25">
      <c r="A125" s="55"/>
      <c r="B125" s="46"/>
      <c r="C125" s="46"/>
      <c r="D125" s="7" t="s">
        <v>4</v>
      </c>
      <c r="E125" s="8" t="s">
        <v>5</v>
      </c>
      <c r="F125" s="8" t="s">
        <v>6</v>
      </c>
      <c r="G125" s="46"/>
      <c r="H125" s="6" t="s">
        <v>8</v>
      </c>
      <c r="I125" s="6" t="s">
        <v>9</v>
      </c>
      <c r="J125" s="6" t="s">
        <v>10</v>
      </c>
      <c r="K125" s="33" t="s">
        <v>107</v>
      </c>
      <c r="L125" s="33" t="s">
        <v>108</v>
      </c>
      <c r="M125" s="6" t="s">
        <v>11</v>
      </c>
      <c r="N125" s="6" t="s">
        <v>12</v>
      </c>
      <c r="O125" s="6" t="s">
        <v>13</v>
      </c>
      <c r="P125" s="6" t="s">
        <v>14</v>
      </c>
      <c r="Q125" s="6" t="s">
        <v>15</v>
      </c>
    </row>
    <row r="126" spans="1:17" ht="15.75" x14ac:dyDescent="0.25">
      <c r="A126" s="1"/>
      <c r="B126" s="47" t="s">
        <v>133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9"/>
    </row>
    <row r="127" spans="1:17" ht="45" x14ac:dyDescent="0.25">
      <c r="A127" s="17" t="s">
        <v>121</v>
      </c>
      <c r="B127" s="6" t="s">
        <v>122</v>
      </c>
      <c r="C127" s="15">
        <v>200</v>
      </c>
      <c r="D127" s="15">
        <v>5.26</v>
      </c>
      <c r="E127" s="15">
        <v>5.52</v>
      </c>
      <c r="F127" s="15">
        <v>18.399999999999999</v>
      </c>
      <c r="G127" s="15">
        <v>144.38</v>
      </c>
      <c r="H127" s="15">
        <v>167.6</v>
      </c>
      <c r="I127" s="15">
        <v>19.399999999999999</v>
      </c>
      <c r="J127" s="15">
        <v>123.4</v>
      </c>
      <c r="K127" s="15">
        <v>20.6</v>
      </c>
      <c r="L127" s="15">
        <v>2.4</v>
      </c>
      <c r="M127" s="15">
        <v>0.4</v>
      </c>
      <c r="N127" s="15">
        <v>0.05</v>
      </c>
      <c r="O127" s="15">
        <v>0.156</v>
      </c>
      <c r="P127" s="15">
        <v>0.26</v>
      </c>
      <c r="Q127" s="15">
        <v>0.6</v>
      </c>
    </row>
    <row r="128" spans="1:17" ht="30" x14ac:dyDescent="0.25">
      <c r="A128" s="17" t="s">
        <v>24</v>
      </c>
      <c r="B128" s="6" t="s">
        <v>50</v>
      </c>
      <c r="C128" s="15">
        <v>30</v>
      </c>
      <c r="D128" s="15">
        <v>2.2799999999999998</v>
      </c>
      <c r="E128" s="15">
        <v>0.24</v>
      </c>
      <c r="F128" s="15">
        <v>14.76</v>
      </c>
      <c r="G128" s="15">
        <v>57.9</v>
      </c>
      <c r="H128" s="15">
        <v>5.7</v>
      </c>
      <c r="I128" s="15">
        <v>3.9</v>
      </c>
      <c r="J128" s="15">
        <v>19.5</v>
      </c>
      <c r="K128" s="15">
        <v>0</v>
      </c>
      <c r="L128" s="15">
        <v>0</v>
      </c>
      <c r="M128" s="15">
        <v>0.36</v>
      </c>
      <c r="N128" s="15">
        <v>3.3000000000000002E-2</v>
      </c>
      <c r="O128" s="15">
        <v>8.9999999999999993E-3</v>
      </c>
      <c r="P128" s="15">
        <v>0.27</v>
      </c>
      <c r="Q128" s="15">
        <v>0</v>
      </c>
    </row>
    <row r="129" spans="1:17" ht="31.5" x14ac:dyDescent="0.25">
      <c r="A129" s="17" t="s">
        <v>75</v>
      </c>
      <c r="B129" s="5" t="s">
        <v>51</v>
      </c>
      <c r="C129" s="15">
        <v>10</v>
      </c>
      <c r="D129" s="15">
        <v>0.1</v>
      </c>
      <c r="E129" s="15">
        <v>8.3000000000000007</v>
      </c>
      <c r="F129" s="15">
        <v>0.1</v>
      </c>
      <c r="G129" s="15">
        <v>74.900000000000006</v>
      </c>
      <c r="H129" s="15">
        <v>2</v>
      </c>
      <c r="I129" s="15">
        <v>0</v>
      </c>
      <c r="J129" s="15">
        <v>2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0.01</v>
      </c>
      <c r="Q129" s="15">
        <v>0</v>
      </c>
    </row>
    <row r="130" spans="1:17" ht="31.5" x14ac:dyDescent="0.25">
      <c r="A130" s="3" t="s">
        <v>94</v>
      </c>
      <c r="B130" s="5" t="s">
        <v>65</v>
      </c>
      <c r="C130" s="9">
        <v>200</v>
      </c>
      <c r="D130" s="9">
        <v>3.8</v>
      </c>
      <c r="E130" s="9">
        <v>3.5</v>
      </c>
      <c r="F130" s="9">
        <v>11.1</v>
      </c>
      <c r="G130" s="9">
        <v>90.8</v>
      </c>
      <c r="H130" s="9">
        <v>112</v>
      </c>
      <c r="I130" s="9">
        <v>30</v>
      </c>
      <c r="J130" s="9">
        <v>107</v>
      </c>
      <c r="K130" s="9">
        <v>9</v>
      </c>
      <c r="L130" s="9">
        <v>1.8</v>
      </c>
      <c r="M130" s="9">
        <v>1</v>
      </c>
      <c r="N130" s="9">
        <v>0.02</v>
      </c>
      <c r="O130" s="9">
        <v>0.11</v>
      </c>
      <c r="P130" s="9">
        <v>0.2</v>
      </c>
      <c r="Q130" s="9">
        <v>0</v>
      </c>
    </row>
    <row r="131" spans="1:17" ht="15.75" x14ac:dyDescent="0.25">
      <c r="A131" s="32" t="s">
        <v>24</v>
      </c>
      <c r="B131" s="5" t="s">
        <v>104</v>
      </c>
      <c r="C131" s="15">
        <v>75</v>
      </c>
      <c r="D131" s="15">
        <v>0.3</v>
      </c>
      <c r="E131" s="15">
        <v>0.3</v>
      </c>
      <c r="F131" s="15">
        <v>7.35</v>
      </c>
      <c r="G131" s="15">
        <v>35.25</v>
      </c>
      <c r="H131" s="15">
        <v>12</v>
      </c>
      <c r="I131" s="15">
        <v>6.75</v>
      </c>
      <c r="J131" s="15">
        <v>8.25</v>
      </c>
      <c r="K131" s="15">
        <v>0</v>
      </c>
      <c r="L131" s="15">
        <v>0</v>
      </c>
      <c r="M131" s="15">
        <v>1.65</v>
      </c>
      <c r="N131" s="15">
        <v>2.2499999999999999E-2</v>
      </c>
      <c r="O131" s="15">
        <v>1.4999999999999999E-2</v>
      </c>
      <c r="P131" s="15">
        <v>0.22500000000000001</v>
      </c>
      <c r="Q131" s="15">
        <v>7.5</v>
      </c>
    </row>
    <row r="132" spans="1:17" ht="15.75" x14ac:dyDescent="0.25">
      <c r="A132" s="18"/>
      <c r="B132" s="19" t="s">
        <v>18</v>
      </c>
      <c r="C132" s="15">
        <f>SUM(C127:C131)</f>
        <v>515</v>
      </c>
      <c r="D132" s="15">
        <f>SUM(D127:D131)</f>
        <v>11.739999999999998</v>
      </c>
      <c r="E132" s="15">
        <f t="shared" ref="E132:J132" si="11">SUM(E127:E131)</f>
        <v>17.860000000000003</v>
      </c>
      <c r="F132" s="15">
        <f t="shared" si="11"/>
        <v>51.71</v>
      </c>
      <c r="G132" s="15">
        <f t="shared" si="11"/>
        <v>403.23</v>
      </c>
      <c r="H132" s="15">
        <f t="shared" si="11"/>
        <v>299.29999999999995</v>
      </c>
      <c r="I132" s="15">
        <f t="shared" si="11"/>
        <v>60.05</v>
      </c>
      <c r="J132" s="15">
        <f t="shared" si="11"/>
        <v>260.14999999999998</v>
      </c>
      <c r="K132" s="15">
        <f>SUM(K127:K131)</f>
        <v>29.6</v>
      </c>
      <c r="L132" s="15">
        <f>SUM(L127:L131)</f>
        <v>4.2</v>
      </c>
      <c r="M132" s="15">
        <f t="shared" ref="M132:Q132" si="12">SUM(M127:M131)</f>
        <v>3.41</v>
      </c>
      <c r="N132" s="15">
        <f t="shared" si="12"/>
        <v>0.1255</v>
      </c>
      <c r="O132" s="15">
        <f t="shared" si="12"/>
        <v>0.29000000000000004</v>
      </c>
      <c r="P132" s="15">
        <f t="shared" si="12"/>
        <v>0.96499999999999997</v>
      </c>
      <c r="Q132" s="15">
        <f t="shared" si="12"/>
        <v>8.1</v>
      </c>
    </row>
    <row r="134" spans="1:17" x14ac:dyDescent="0.25">
      <c r="A134" s="45" t="s">
        <v>0</v>
      </c>
      <c r="B134" s="45" t="s">
        <v>1</v>
      </c>
      <c r="C134" s="45" t="s">
        <v>2</v>
      </c>
      <c r="D134" s="42" t="s">
        <v>3</v>
      </c>
      <c r="E134" s="43"/>
      <c r="F134" s="44"/>
      <c r="G134" s="45" t="s">
        <v>16</v>
      </c>
      <c r="H134" s="42" t="s">
        <v>7</v>
      </c>
      <c r="I134" s="43"/>
      <c r="J134" s="43"/>
      <c r="K134" s="43"/>
      <c r="L134" s="43"/>
      <c r="M134" s="44"/>
      <c r="N134" s="42" t="s">
        <v>19</v>
      </c>
      <c r="O134" s="43"/>
      <c r="P134" s="43"/>
      <c r="Q134" s="44"/>
    </row>
    <row r="135" spans="1:17" ht="30" x14ac:dyDescent="0.25">
      <c r="A135" s="55"/>
      <c r="B135" s="46"/>
      <c r="C135" s="46"/>
      <c r="D135" s="7" t="s">
        <v>4</v>
      </c>
      <c r="E135" s="8" t="s">
        <v>5</v>
      </c>
      <c r="F135" s="8" t="s">
        <v>6</v>
      </c>
      <c r="G135" s="46"/>
      <c r="H135" s="6" t="s">
        <v>8</v>
      </c>
      <c r="I135" s="6" t="s">
        <v>9</v>
      </c>
      <c r="J135" s="6" t="s">
        <v>10</v>
      </c>
      <c r="K135" s="33" t="s">
        <v>107</v>
      </c>
      <c r="L135" s="33" t="s">
        <v>108</v>
      </c>
      <c r="M135" s="6" t="s">
        <v>11</v>
      </c>
      <c r="N135" s="6" t="s">
        <v>12</v>
      </c>
      <c r="O135" s="6" t="s">
        <v>13</v>
      </c>
      <c r="P135" s="6" t="s">
        <v>14</v>
      </c>
      <c r="Q135" s="6" t="s">
        <v>15</v>
      </c>
    </row>
    <row r="136" spans="1:17" ht="15.75" x14ac:dyDescent="0.25">
      <c r="A136" s="1"/>
      <c r="B136" s="47" t="s">
        <v>134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9"/>
    </row>
    <row r="137" spans="1:17" ht="45" x14ac:dyDescent="0.25">
      <c r="A137" s="17" t="s">
        <v>121</v>
      </c>
      <c r="B137" s="6" t="s">
        <v>132</v>
      </c>
      <c r="C137" s="15">
        <v>250</v>
      </c>
      <c r="D137" s="15">
        <v>6.58</v>
      </c>
      <c r="E137" s="15">
        <v>6.9</v>
      </c>
      <c r="F137" s="15">
        <v>23</v>
      </c>
      <c r="G137" s="15">
        <v>180.48</v>
      </c>
      <c r="H137" s="15">
        <v>209.5</v>
      </c>
      <c r="I137" s="15">
        <v>24.25</v>
      </c>
      <c r="J137" s="15">
        <v>154.25</v>
      </c>
      <c r="K137" s="15">
        <v>25.75</v>
      </c>
      <c r="L137" s="15">
        <v>3</v>
      </c>
      <c r="M137" s="15">
        <v>0.5</v>
      </c>
      <c r="N137" s="15">
        <v>6.3E-2</v>
      </c>
      <c r="O137" s="15">
        <v>0.19500000000000001</v>
      </c>
      <c r="P137" s="15">
        <v>0.32500000000000001</v>
      </c>
      <c r="Q137" s="15">
        <v>0.75</v>
      </c>
    </row>
    <row r="138" spans="1:17" ht="30" x14ac:dyDescent="0.25">
      <c r="A138" s="17" t="s">
        <v>24</v>
      </c>
      <c r="B138" s="6" t="s">
        <v>50</v>
      </c>
      <c r="C138" s="15">
        <v>30</v>
      </c>
      <c r="D138" s="15">
        <v>2.2799999999999998</v>
      </c>
      <c r="E138" s="15">
        <v>0.24</v>
      </c>
      <c r="F138" s="15">
        <v>14.76</v>
      </c>
      <c r="G138" s="15">
        <v>57.9</v>
      </c>
      <c r="H138" s="15">
        <v>5.7</v>
      </c>
      <c r="I138" s="15">
        <v>3.9</v>
      </c>
      <c r="J138" s="15">
        <v>19.5</v>
      </c>
      <c r="K138" s="15">
        <v>0</v>
      </c>
      <c r="L138" s="15">
        <v>0</v>
      </c>
      <c r="M138" s="15">
        <v>0.36</v>
      </c>
      <c r="N138" s="15">
        <v>3.3000000000000002E-2</v>
      </c>
      <c r="O138" s="15">
        <v>8.9999999999999993E-3</v>
      </c>
      <c r="P138" s="15">
        <v>0.27</v>
      </c>
      <c r="Q138" s="15">
        <v>0</v>
      </c>
    </row>
    <row r="139" spans="1:17" ht="31.5" x14ac:dyDescent="0.25">
      <c r="A139" s="17" t="s">
        <v>75</v>
      </c>
      <c r="B139" s="5" t="s">
        <v>51</v>
      </c>
      <c r="C139" s="15">
        <v>10</v>
      </c>
      <c r="D139" s="15">
        <v>0.1</v>
      </c>
      <c r="E139" s="15">
        <v>8.3000000000000007</v>
      </c>
      <c r="F139" s="15">
        <v>0.1</v>
      </c>
      <c r="G139" s="15">
        <v>74.900000000000006</v>
      </c>
      <c r="H139" s="15">
        <v>2</v>
      </c>
      <c r="I139" s="15">
        <v>0</v>
      </c>
      <c r="J139" s="15">
        <v>2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0.01</v>
      </c>
      <c r="Q139" s="15">
        <v>0</v>
      </c>
    </row>
    <row r="140" spans="1:17" ht="31.5" x14ac:dyDescent="0.25">
      <c r="A140" s="3" t="s">
        <v>94</v>
      </c>
      <c r="B140" s="5" t="s">
        <v>65</v>
      </c>
      <c r="C140" s="9">
        <v>200</v>
      </c>
      <c r="D140" s="9">
        <v>3.8</v>
      </c>
      <c r="E140" s="9">
        <v>3.5</v>
      </c>
      <c r="F140" s="9">
        <v>11.1</v>
      </c>
      <c r="G140" s="9">
        <v>90.8</v>
      </c>
      <c r="H140" s="9">
        <v>112</v>
      </c>
      <c r="I140" s="9">
        <v>30</v>
      </c>
      <c r="J140" s="9">
        <v>107</v>
      </c>
      <c r="K140" s="9">
        <v>9</v>
      </c>
      <c r="L140" s="9">
        <v>1.8</v>
      </c>
      <c r="M140" s="9">
        <v>1</v>
      </c>
      <c r="N140" s="9">
        <v>0.02</v>
      </c>
      <c r="O140" s="9">
        <v>0.11</v>
      </c>
      <c r="P140" s="9">
        <v>0.2</v>
      </c>
      <c r="Q140" s="9">
        <v>0</v>
      </c>
    </row>
    <row r="141" spans="1:17" ht="15.75" x14ac:dyDescent="0.25">
      <c r="A141" s="18"/>
      <c r="B141" s="19" t="s">
        <v>18</v>
      </c>
      <c r="C141" s="15">
        <f t="shared" ref="C141:Q141" si="13">SUM(C137:C140)</f>
        <v>490</v>
      </c>
      <c r="D141" s="15">
        <f t="shared" si="13"/>
        <v>12.759999999999998</v>
      </c>
      <c r="E141" s="15">
        <f t="shared" si="13"/>
        <v>18.940000000000001</v>
      </c>
      <c r="F141" s="15">
        <f t="shared" si="13"/>
        <v>48.96</v>
      </c>
      <c r="G141" s="15">
        <f t="shared" si="13"/>
        <v>404.08</v>
      </c>
      <c r="H141" s="15">
        <f t="shared" si="13"/>
        <v>329.2</v>
      </c>
      <c r="I141" s="15">
        <f t="shared" si="13"/>
        <v>58.15</v>
      </c>
      <c r="J141" s="15">
        <f t="shared" si="13"/>
        <v>282.75</v>
      </c>
      <c r="K141" s="15">
        <f t="shared" si="13"/>
        <v>34.75</v>
      </c>
      <c r="L141" s="15">
        <f t="shared" si="13"/>
        <v>4.8</v>
      </c>
      <c r="M141" s="15">
        <f t="shared" si="13"/>
        <v>1.8599999999999999</v>
      </c>
      <c r="N141" s="15">
        <f t="shared" si="13"/>
        <v>0.11600000000000001</v>
      </c>
      <c r="O141" s="15">
        <f t="shared" si="13"/>
        <v>0.314</v>
      </c>
      <c r="P141" s="15">
        <f t="shared" si="13"/>
        <v>0.80499999999999994</v>
      </c>
      <c r="Q141" s="15">
        <f t="shared" si="13"/>
        <v>0.75</v>
      </c>
    </row>
    <row r="146" spans="1:17" x14ac:dyDescent="0.25">
      <c r="N146" s="50" t="s">
        <v>135</v>
      </c>
      <c r="O146" s="50"/>
      <c r="P146" s="50"/>
      <c r="Q146" s="50"/>
    </row>
    <row r="147" spans="1:17" x14ac:dyDescent="0.25">
      <c r="N147" s="50" t="s">
        <v>136</v>
      </c>
      <c r="O147" s="50"/>
      <c r="P147" s="50"/>
      <c r="Q147" s="50"/>
    </row>
    <row r="148" spans="1:17" x14ac:dyDescent="0.25">
      <c r="B148" s="14" t="s">
        <v>140</v>
      </c>
      <c r="N148" s="50" t="s">
        <v>139</v>
      </c>
      <c r="O148" s="50"/>
      <c r="P148" s="50"/>
      <c r="Q148" s="50"/>
    </row>
    <row r="149" spans="1:17" x14ac:dyDescent="0.25">
      <c r="N149" s="52" t="s">
        <v>137</v>
      </c>
      <c r="O149" s="52"/>
      <c r="P149" s="52"/>
      <c r="Q149" s="52"/>
    </row>
    <row r="150" spans="1:17" x14ac:dyDescent="0.25">
      <c r="A150" s="45" t="s">
        <v>0</v>
      </c>
      <c r="B150" s="45" t="s">
        <v>1</v>
      </c>
      <c r="C150" s="45" t="s">
        <v>2</v>
      </c>
      <c r="D150" s="42" t="s">
        <v>3</v>
      </c>
      <c r="E150" s="43"/>
      <c r="F150" s="44"/>
      <c r="G150" s="45" t="s">
        <v>16</v>
      </c>
      <c r="H150" s="42" t="s">
        <v>7</v>
      </c>
      <c r="I150" s="43"/>
      <c r="J150" s="43"/>
      <c r="K150" s="43"/>
      <c r="L150" s="43"/>
      <c r="M150" s="44"/>
      <c r="N150" s="42" t="s">
        <v>19</v>
      </c>
      <c r="O150" s="43"/>
      <c r="P150" s="43"/>
      <c r="Q150" s="44"/>
    </row>
    <row r="151" spans="1:17" ht="30" x14ac:dyDescent="0.25">
      <c r="A151" s="46"/>
      <c r="B151" s="46"/>
      <c r="C151" s="46"/>
      <c r="D151" s="7" t="s">
        <v>4</v>
      </c>
      <c r="E151" s="8" t="s">
        <v>5</v>
      </c>
      <c r="F151" s="8" t="s">
        <v>6</v>
      </c>
      <c r="G151" s="46"/>
      <c r="H151" s="6" t="s">
        <v>8</v>
      </c>
      <c r="I151" s="6" t="s">
        <v>9</v>
      </c>
      <c r="J151" s="6" t="s">
        <v>10</v>
      </c>
      <c r="K151" s="33" t="s">
        <v>107</v>
      </c>
      <c r="L151" s="33" t="s">
        <v>108</v>
      </c>
      <c r="M151" s="6" t="s">
        <v>11</v>
      </c>
      <c r="N151" s="6" t="s">
        <v>12</v>
      </c>
      <c r="O151" s="6" t="s">
        <v>13</v>
      </c>
      <c r="P151" s="6" t="s">
        <v>14</v>
      </c>
      <c r="Q151" s="6" t="s">
        <v>15</v>
      </c>
    </row>
    <row r="152" spans="1:17" ht="15.75" x14ac:dyDescent="0.25">
      <c r="A152" s="1"/>
      <c r="B152" s="47" t="s">
        <v>142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9"/>
    </row>
    <row r="153" spans="1:17" ht="31.5" x14ac:dyDescent="0.25">
      <c r="A153" s="3" t="s">
        <v>128</v>
      </c>
      <c r="B153" s="4" t="s">
        <v>129</v>
      </c>
      <c r="C153" s="21">
        <v>60</v>
      </c>
      <c r="D153" s="21">
        <v>0.8</v>
      </c>
      <c r="E153" s="21">
        <v>2.7</v>
      </c>
      <c r="F153" s="21">
        <v>4.5999999999999996</v>
      </c>
      <c r="G153" s="21">
        <v>45.7</v>
      </c>
      <c r="H153" s="21">
        <v>20</v>
      </c>
      <c r="I153" s="21">
        <v>21</v>
      </c>
      <c r="J153" s="21">
        <v>21</v>
      </c>
      <c r="K153" s="21">
        <v>1</v>
      </c>
      <c r="L153" s="21">
        <v>0.01</v>
      </c>
      <c r="M153" s="21">
        <v>0.02</v>
      </c>
      <c r="N153" s="21">
        <v>0.1</v>
      </c>
      <c r="O153" s="21">
        <v>2</v>
      </c>
      <c r="P153" s="38"/>
      <c r="Q153" s="39"/>
    </row>
    <row r="154" spans="1:17" ht="31.5" x14ac:dyDescent="0.25">
      <c r="A154" s="3" t="s">
        <v>79</v>
      </c>
      <c r="B154" s="4" t="s">
        <v>22</v>
      </c>
      <c r="C154" s="21">
        <v>150</v>
      </c>
      <c r="D154" s="21">
        <v>8.1999999999999993</v>
      </c>
      <c r="E154" s="21">
        <v>6.5</v>
      </c>
      <c r="F154" s="21">
        <v>42.8</v>
      </c>
      <c r="G154" s="21">
        <v>262.5</v>
      </c>
      <c r="H154" s="21">
        <v>46</v>
      </c>
      <c r="I154" s="21">
        <v>59</v>
      </c>
      <c r="J154" s="21">
        <v>180</v>
      </c>
      <c r="K154" s="21">
        <v>20</v>
      </c>
      <c r="L154" s="21">
        <v>3.6</v>
      </c>
      <c r="M154" s="21">
        <v>5</v>
      </c>
      <c r="N154" s="21">
        <v>0.3</v>
      </c>
      <c r="O154" s="21">
        <v>0.1</v>
      </c>
      <c r="P154" s="21">
        <v>2.2999999999999998</v>
      </c>
      <c r="Q154" s="21">
        <v>0</v>
      </c>
    </row>
    <row r="155" spans="1:17" ht="31.5" x14ac:dyDescent="0.25">
      <c r="A155" s="17" t="s">
        <v>100</v>
      </c>
      <c r="B155" s="6" t="s">
        <v>101</v>
      </c>
      <c r="C155" s="10">
        <v>75</v>
      </c>
      <c r="D155" s="9">
        <v>14.1</v>
      </c>
      <c r="E155" s="9">
        <v>11.9</v>
      </c>
      <c r="F155" s="9">
        <v>11.4</v>
      </c>
      <c r="G155" s="9">
        <v>209</v>
      </c>
      <c r="H155" s="9">
        <v>43</v>
      </c>
      <c r="I155" s="9">
        <v>25</v>
      </c>
      <c r="J155" s="9">
        <v>165</v>
      </c>
      <c r="K155" s="9">
        <v>14.2</v>
      </c>
      <c r="L155" s="9">
        <v>2.1</v>
      </c>
      <c r="M155" s="9">
        <v>1</v>
      </c>
      <c r="N155" s="9">
        <v>0.11</v>
      </c>
      <c r="O155" s="9">
        <v>0.14000000000000001</v>
      </c>
      <c r="P155" s="9">
        <v>2.2000000000000002</v>
      </c>
      <c r="Q155" s="9">
        <v>0</v>
      </c>
    </row>
    <row r="156" spans="1:17" ht="31.5" x14ac:dyDescent="0.25">
      <c r="A156" s="17" t="s">
        <v>85</v>
      </c>
      <c r="B156" s="6" t="s">
        <v>52</v>
      </c>
      <c r="C156" s="15">
        <v>50</v>
      </c>
      <c r="D156" s="15">
        <v>0.75</v>
      </c>
      <c r="E156" s="15">
        <v>4.2</v>
      </c>
      <c r="F156" s="15">
        <v>1.7</v>
      </c>
      <c r="G156" s="15">
        <v>47.6</v>
      </c>
      <c r="H156" s="15">
        <v>19.5</v>
      </c>
      <c r="I156" s="15">
        <v>2</v>
      </c>
      <c r="J156" s="15">
        <v>14</v>
      </c>
      <c r="K156" s="15">
        <v>0.6</v>
      </c>
      <c r="L156" s="15">
        <v>0.15</v>
      </c>
      <c r="M156" s="15">
        <v>0</v>
      </c>
      <c r="N156" s="15">
        <v>5.0000000000000001E-3</v>
      </c>
      <c r="O156" s="15">
        <v>0.02</v>
      </c>
      <c r="P156" s="15">
        <v>0.15</v>
      </c>
      <c r="Q156" s="15">
        <v>0</v>
      </c>
    </row>
    <row r="157" spans="1:17" ht="31.5" x14ac:dyDescent="0.25">
      <c r="A157" s="3" t="s">
        <v>88</v>
      </c>
      <c r="B157" s="5" t="s">
        <v>53</v>
      </c>
      <c r="C157" s="9">
        <v>200</v>
      </c>
      <c r="D157" s="9">
        <v>0.2</v>
      </c>
      <c r="E157" s="9">
        <v>0</v>
      </c>
      <c r="F157" s="9">
        <v>6.4</v>
      </c>
      <c r="G157" s="9">
        <v>26.4</v>
      </c>
      <c r="H157" s="9">
        <v>4</v>
      </c>
      <c r="I157" s="9">
        <v>4</v>
      </c>
      <c r="J157" s="9">
        <v>7</v>
      </c>
      <c r="K157" s="9">
        <v>0</v>
      </c>
      <c r="L157" s="9">
        <v>0</v>
      </c>
      <c r="M157" s="9">
        <v>1</v>
      </c>
      <c r="N157" s="9">
        <v>0</v>
      </c>
      <c r="O157" s="9">
        <v>0</v>
      </c>
      <c r="P157" s="9">
        <v>0.1</v>
      </c>
      <c r="Q157" s="9">
        <v>0</v>
      </c>
    </row>
    <row r="158" spans="1:17" ht="30" x14ac:dyDescent="0.25">
      <c r="A158" s="17" t="s">
        <v>24</v>
      </c>
      <c r="B158" s="6" t="s">
        <v>50</v>
      </c>
      <c r="C158" s="15">
        <v>30</v>
      </c>
      <c r="D158" s="15">
        <v>2.2799999999999998</v>
      </c>
      <c r="E158" s="15">
        <v>0.24</v>
      </c>
      <c r="F158" s="15">
        <v>14.76</v>
      </c>
      <c r="G158" s="15">
        <v>57.9</v>
      </c>
      <c r="H158" s="15">
        <v>5.7</v>
      </c>
      <c r="I158" s="15">
        <v>3.9</v>
      </c>
      <c r="J158" s="15">
        <v>19.5</v>
      </c>
      <c r="K158" s="15">
        <v>0</v>
      </c>
      <c r="L158" s="15">
        <v>0</v>
      </c>
      <c r="M158" s="15">
        <v>0.36</v>
      </c>
      <c r="N158" s="15">
        <v>3.3000000000000002E-2</v>
      </c>
      <c r="O158" s="15">
        <v>8.9999999999999993E-3</v>
      </c>
      <c r="P158" s="15">
        <v>0.27</v>
      </c>
      <c r="Q158" s="15">
        <v>0</v>
      </c>
    </row>
    <row r="159" spans="1:17" ht="15.75" x14ac:dyDescent="0.25">
      <c r="A159" s="2"/>
      <c r="B159" s="11" t="s">
        <v>18</v>
      </c>
      <c r="C159" s="9">
        <f t="shared" ref="C159:Q159" si="14">SUM(C154:C158)</f>
        <v>505</v>
      </c>
      <c r="D159" s="9">
        <f t="shared" si="14"/>
        <v>25.529999999999998</v>
      </c>
      <c r="E159" s="9">
        <f t="shared" si="14"/>
        <v>22.839999999999996</v>
      </c>
      <c r="F159" s="9">
        <f t="shared" si="14"/>
        <v>77.06</v>
      </c>
      <c r="G159" s="9">
        <f t="shared" si="14"/>
        <v>603.4</v>
      </c>
      <c r="H159" s="9">
        <f t="shared" si="14"/>
        <v>118.2</v>
      </c>
      <c r="I159" s="9">
        <f t="shared" si="14"/>
        <v>93.9</v>
      </c>
      <c r="J159" s="9">
        <f t="shared" si="14"/>
        <v>385.5</v>
      </c>
      <c r="K159" s="9">
        <f t="shared" si="14"/>
        <v>34.800000000000004</v>
      </c>
      <c r="L159" s="9">
        <f t="shared" si="14"/>
        <v>5.8500000000000005</v>
      </c>
      <c r="M159" s="9">
        <f t="shared" si="14"/>
        <v>7.36</v>
      </c>
      <c r="N159" s="9">
        <f t="shared" si="14"/>
        <v>0.44799999999999995</v>
      </c>
      <c r="O159" s="9">
        <f t="shared" si="14"/>
        <v>0.26900000000000002</v>
      </c>
      <c r="P159" s="9">
        <f t="shared" si="14"/>
        <v>5.0199999999999996</v>
      </c>
      <c r="Q159" s="9">
        <f t="shared" si="14"/>
        <v>0</v>
      </c>
    </row>
    <row r="161" spans="1:17" x14ac:dyDescent="0.25">
      <c r="A161" s="45" t="s">
        <v>0</v>
      </c>
      <c r="B161" s="45" t="s">
        <v>1</v>
      </c>
      <c r="C161" s="45" t="s">
        <v>2</v>
      </c>
      <c r="D161" s="42" t="s">
        <v>3</v>
      </c>
      <c r="E161" s="43"/>
      <c r="F161" s="44"/>
      <c r="G161" s="45" t="s">
        <v>16</v>
      </c>
      <c r="H161" s="42" t="s">
        <v>7</v>
      </c>
      <c r="I161" s="43"/>
      <c r="J161" s="43"/>
      <c r="K161" s="43"/>
      <c r="L161" s="43"/>
      <c r="M161" s="44"/>
      <c r="N161" s="42" t="s">
        <v>19</v>
      </c>
      <c r="O161" s="43"/>
      <c r="P161" s="43"/>
      <c r="Q161" s="44"/>
    </row>
    <row r="162" spans="1:17" ht="30" x14ac:dyDescent="0.25">
      <c r="A162" s="46"/>
      <c r="B162" s="46"/>
      <c r="C162" s="46"/>
      <c r="D162" s="7" t="s">
        <v>4</v>
      </c>
      <c r="E162" s="8" t="s">
        <v>5</v>
      </c>
      <c r="F162" s="8" t="s">
        <v>6</v>
      </c>
      <c r="G162" s="46"/>
      <c r="H162" s="6" t="s">
        <v>8</v>
      </c>
      <c r="I162" s="6" t="s">
        <v>9</v>
      </c>
      <c r="J162" s="6" t="s">
        <v>10</v>
      </c>
      <c r="K162" s="33" t="s">
        <v>107</v>
      </c>
      <c r="L162" s="33" t="s">
        <v>108</v>
      </c>
      <c r="M162" s="6" t="s">
        <v>11</v>
      </c>
      <c r="N162" s="6" t="s">
        <v>12</v>
      </c>
      <c r="O162" s="6" t="s">
        <v>13</v>
      </c>
      <c r="P162" s="6" t="s">
        <v>14</v>
      </c>
      <c r="Q162" s="6" t="s">
        <v>15</v>
      </c>
    </row>
    <row r="163" spans="1:17" ht="15.75" x14ac:dyDescent="0.25">
      <c r="A163" s="1"/>
      <c r="B163" s="47" t="s">
        <v>141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9"/>
    </row>
    <row r="164" spans="1:17" ht="31.5" x14ac:dyDescent="0.25">
      <c r="A164" s="3" t="s">
        <v>79</v>
      </c>
      <c r="B164" s="4" t="s">
        <v>22</v>
      </c>
      <c r="C164" s="21">
        <v>200</v>
      </c>
      <c r="D164" s="21">
        <v>8.1999999999999993</v>
      </c>
      <c r="E164" s="21">
        <v>6.5</v>
      </c>
      <c r="F164" s="21">
        <v>42.8</v>
      </c>
      <c r="G164" s="21">
        <v>262.5</v>
      </c>
      <c r="H164" s="21">
        <v>46</v>
      </c>
      <c r="I164" s="21">
        <v>59</v>
      </c>
      <c r="J164" s="21">
        <v>180</v>
      </c>
      <c r="K164" s="21">
        <v>20</v>
      </c>
      <c r="L164" s="21">
        <v>3.6</v>
      </c>
      <c r="M164" s="21">
        <v>5</v>
      </c>
      <c r="N164" s="21">
        <v>0.3</v>
      </c>
      <c r="O164" s="21">
        <v>0.1</v>
      </c>
      <c r="P164" s="21">
        <v>2.2999999999999998</v>
      </c>
      <c r="Q164" s="21">
        <v>0</v>
      </c>
    </row>
    <row r="165" spans="1:17" ht="31.5" x14ac:dyDescent="0.25">
      <c r="A165" s="17" t="s">
        <v>100</v>
      </c>
      <c r="B165" s="6" t="s">
        <v>101</v>
      </c>
      <c r="C165" s="10">
        <v>75</v>
      </c>
      <c r="D165" s="9">
        <v>14.1</v>
      </c>
      <c r="E165" s="9">
        <v>11.9</v>
      </c>
      <c r="F165" s="9">
        <v>11.4</v>
      </c>
      <c r="G165" s="9">
        <v>209</v>
      </c>
      <c r="H165" s="9">
        <v>43</v>
      </c>
      <c r="I165" s="9">
        <v>25</v>
      </c>
      <c r="J165" s="9">
        <v>165</v>
      </c>
      <c r="K165" s="9">
        <v>14.2</v>
      </c>
      <c r="L165" s="9">
        <v>2.1</v>
      </c>
      <c r="M165" s="9">
        <v>1</v>
      </c>
      <c r="N165" s="9">
        <v>0.11</v>
      </c>
      <c r="O165" s="9">
        <v>0.14000000000000001</v>
      </c>
      <c r="P165" s="9">
        <v>2.2000000000000002</v>
      </c>
      <c r="Q165" s="9">
        <v>0</v>
      </c>
    </row>
    <row r="166" spans="1:17" ht="31.5" x14ac:dyDescent="0.25">
      <c r="A166" s="17" t="s">
        <v>85</v>
      </c>
      <c r="B166" s="6" t="s">
        <v>52</v>
      </c>
      <c r="C166" s="15">
        <v>50</v>
      </c>
      <c r="D166" s="15">
        <v>0.75</v>
      </c>
      <c r="E166" s="15">
        <v>4.2</v>
      </c>
      <c r="F166" s="15">
        <v>1.7</v>
      </c>
      <c r="G166" s="15">
        <v>47.6</v>
      </c>
      <c r="H166" s="15">
        <v>19.5</v>
      </c>
      <c r="I166" s="15">
        <v>2</v>
      </c>
      <c r="J166" s="15">
        <v>14</v>
      </c>
      <c r="K166" s="15">
        <v>0.6</v>
      </c>
      <c r="L166" s="15">
        <v>0.15</v>
      </c>
      <c r="M166" s="15">
        <v>0</v>
      </c>
      <c r="N166" s="15">
        <v>5.0000000000000001E-3</v>
      </c>
      <c r="O166" s="15">
        <v>0.02</v>
      </c>
      <c r="P166" s="15">
        <v>0.15</v>
      </c>
      <c r="Q166" s="15">
        <v>0</v>
      </c>
    </row>
    <row r="167" spans="1:17" ht="31.5" x14ac:dyDescent="0.25">
      <c r="A167" s="3" t="s">
        <v>88</v>
      </c>
      <c r="B167" s="5" t="s">
        <v>53</v>
      </c>
      <c r="C167" s="9">
        <v>200</v>
      </c>
      <c r="D167" s="9">
        <v>0.2</v>
      </c>
      <c r="E167" s="9">
        <v>0</v>
      </c>
      <c r="F167" s="9">
        <v>6.4</v>
      </c>
      <c r="G167" s="9">
        <v>26.4</v>
      </c>
      <c r="H167" s="9">
        <v>4</v>
      </c>
      <c r="I167" s="9">
        <v>4</v>
      </c>
      <c r="J167" s="9">
        <v>7</v>
      </c>
      <c r="K167" s="9">
        <v>0</v>
      </c>
      <c r="L167" s="9">
        <v>0</v>
      </c>
      <c r="M167" s="9">
        <v>1</v>
      </c>
      <c r="N167" s="9">
        <v>0</v>
      </c>
      <c r="O167" s="9">
        <v>0</v>
      </c>
      <c r="P167" s="9">
        <v>0.1</v>
      </c>
      <c r="Q167" s="9">
        <v>0</v>
      </c>
    </row>
    <row r="168" spans="1:17" ht="30" x14ac:dyDescent="0.25">
      <c r="A168" s="17" t="s">
        <v>24</v>
      </c>
      <c r="B168" s="6" t="s">
        <v>50</v>
      </c>
      <c r="C168" s="15">
        <v>30</v>
      </c>
      <c r="D168" s="15">
        <v>2.2799999999999998</v>
      </c>
      <c r="E168" s="15">
        <v>0.24</v>
      </c>
      <c r="F168" s="15">
        <v>14.76</v>
      </c>
      <c r="G168" s="15">
        <v>57.9</v>
      </c>
      <c r="H168" s="15">
        <v>5.7</v>
      </c>
      <c r="I168" s="15">
        <v>3.9</v>
      </c>
      <c r="J168" s="15">
        <v>19.5</v>
      </c>
      <c r="K168" s="15">
        <v>0</v>
      </c>
      <c r="L168" s="15">
        <v>0</v>
      </c>
      <c r="M168" s="15">
        <v>0.36</v>
      </c>
      <c r="N168" s="15">
        <v>3.3000000000000002E-2</v>
      </c>
      <c r="O168" s="15">
        <v>8.9999999999999993E-3</v>
      </c>
      <c r="P168" s="15">
        <v>0.27</v>
      </c>
      <c r="Q168" s="15">
        <v>0</v>
      </c>
    </row>
    <row r="169" spans="1:17" ht="15.75" x14ac:dyDescent="0.25">
      <c r="A169" s="2"/>
      <c r="B169" s="11" t="s">
        <v>18</v>
      </c>
      <c r="C169" s="9">
        <f t="shared" ref="C169:Q169" si="15">SUM(C164:C168)</f>
        <v>555</v>
      </c>
      <c r="D169" s="9">
        <f t="shared" si="15"/>
        <v>25.529999999999998</v>
      </c>
      <c r="E169" s="9">
        <f t="shared" si="15"/>
        <v>22.839999999999996</v>
      </c>
      <c r="F169" s="9">
        <f t="shared" si="15"/>
        <v>77.06</v>
      </c>
      <c r="G169" s="9">
        <f t="shared" si="15"/>
        <v>603.4</v>
      </c>
      <c r="H169" s="9">
        <f t="shared" si="15"/>
        <v>118.2</v>
      </c>
      <c r="I169" s="9">
        <f t="shared" si="15"/>
        <v>93.9</v>
      </c>
      <c r="J169" s="9">
        <f t="shared" si="15"/>
        <v>385.5</v>
      </c>
      <c r="K169" s="9">
        <f t="shared" si="15"/>
        <v>34.800000000000004</v>
      </c>
      <c r="L169" s="9">
        <f t="shared" si="15"/>
        <v>5.8500000000000005</v>
      </c>
      <c r="M169" s="9">
        <f t="shared" si="15"/>
        <v>7.36</v>
      </c>
      <c r="N169" s="9">
        <f t="shared" si="15"/>
        <v>0.44799999999999995</v>
      </c>
      <c r="O169" s="9">
        <f t="shared" si="15"/>
        <v>0.26900000000000002</v>
      </c>
      <c r="P169" s="9">
        <f t="shared" si="15"/>
        <v>5.0199999999999996</v>
      </c>
      <c r="Q169" s="9">
        <f t="shared" si="15"/>
        <v>0</v>
      </c>
    </row>
    <row r="171" spans="1:17" ht="34.5" customHeight="1" x14ac:dyDescent="0.25"/>
    <row r="173" spans="1:17" x14ac:dyDescent="0.25">
      <c r="N173" s="50" t="s">
        <v>135</v>
      </c>
      <c r="O173" s="50"/>
      <c r="P173" s="50"/>
      <c r="Q173" s="50"/>
    </row>
    <row r="174" spans="1:17" x14ac:dyDescent="0.25">
      <c r="N174" s="50" t="s">
        <v>136</v>
      </c>
      <c r="O174" s="50"/>
      <c r="P174" s="50"/>
      <c r="Q174" s="50"/>
    </row>
    <row r="175" spans="1:17" x14ac:dyDescent="0.25">
      <c r="B175" s="14" t="s">
        <v>143</v>
      </c>
      <c r="N175" s="50" t="s">
        <v>139</v>
      </c>
      <c r="O175" s="50"/>
      <c r="P175" s="50"/>
      <c r="Q175" s="50"/>
    </row>
    <row r="176" spans="1:17" x14ac:dyDescent="0.25">
      <c r="N176" s="52" t="s">
        <v>137</v>
      </c>
      <c r="O176" s="52"/>
      <c r="P176" s="52"/>
      <c r="Q176" s="52"/>
    </row>
    <row r="177" spans="1:17" x14ac:dyDescent="0.25">
      <c r="A177" s="45" t="s">
        <v>0</v>
      </c>
      <c r="B177" s="45" t="s">
        <v>1</v>
      </c>
      <c r="C177" s="45" t="s">
        <v>2</v>
      </c>
      <c r="D177" s="42" t="s">
        <v>3</v>
      </c>
      <c r="E177" s="43"/>
      <c r="F177" s="44"/>
      <c r="G177" s="45" t="s">
        <v>16</v>
      </c>
      <c r="H177" s="42" t="s">
        <v>7</v>
      </c>
      <c r="I177" s="43"/>
      <c r="J177" s="43"/>
      <c r="K177" s="43"/>
      <c r="L177" s="43"/>
      <c r="M177" s="44"/>
      <c r="N177" s="42" t="s">
        <v>19</v>
      </c>
      <c r="O177" s="43"/>
      <c r="P177" s="43"/>
      <c r="Q177" s="44"/>
    </row>
    <row r="178" spans="1:17" ht="30" x14ac:dyDescent="0.25">
      <c r="A178" s="46"/>
      <c r="B178" s="46"/>
      <c r="C178" s="46"/>
      <c r="D178" s="7" t="s">
        <v>4</v>
      </c>
      <c r="E178" s="8" t="s">
        <v>5</v>
      </c>
      <c r="F178" s="8" t="s">
        <v>6</v>
      </c>
      <c r="G178" s="46"/>
      <c r="H178" s="6" t="s">
        <v>8</v>
      </c>
      <c r="I178" s="6" t="s">
        <v>9</v>
      </c>
      <c r="J178" s="6" t="s">
        <v>10</v>
      </c>
      <c r="K178" s="33" t="s">
        <v>107</v>
      </c>
      <c r="L178" s="33" t="s">
        <v>108</v>
      </c>
      <c r="M178" s="6" t="s">
        <v>11</v>
      </c>
      <c r="N178" s="6" t="s">
        <v>12</v>
      </c>
      <c r="O178" s="6" t="s">
        <v>13</v>
      </c>
      <c r="P178" s="6" t="s">
        <v>14</v>
      </c>
      <c r="Q178" s="6" t="s">
        <v>15</v>
      </c>
    </row>
    <row r="179" spans="1:17" ht="15.75" x14ac:dyDescent="0.25">
      <c r="A179" s="1"/>
      <c r="B179" s="47" t="s">
        <v>17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4"/>
    </row>
    <row r="180" spans="1:17" ht="31.5" x14ac:dyDescent="0.25">
      <c r="A180" s="3" t="s">
        <v>74</v>
      </c>
      <c r="B180" s="4" t="s">
        <v>55</v>
      </c>
      <c r="C180" s="21">
        <v>30</v>
      </c>
      <c r="D180" s="21">
        <v>7.02</v>
      </c>
      <c r="E180" s="21">
        <v>9</v>
      </c>
      <c r="F180" s="21">
        <v>0</v>
      </c>
      <c r="G180" s="21">
        <v>109.1</v>
      </c>
      <c r="H180" s="21">
        <v>300</v>
      </c>
      <c r="I180" s="21">
        <v>14</v>
      </c>
      <c r="J180" s="21">
        <v>163</v>
      </c>
      <c r="K180" s="21">
        <v>0</v>
      </c>
      <c r="L180" s="21">
        <v>0</v>
      </c>
      <c r="M180" s="21">
        <v>0</v>
      </c>
      <c r="N180" s="21">
        <v>0.01</v>
      </c>
      <c r="O180" s="21">
        <v>0.09</v>
      </c>
      <c r="P180" s="21">
        <v>0.09</v>
      </c>
      <c r="Q180" s="21">
        <v>0</v>
      </c>
    </row>
    <row r="181" spans="1:17" ht="45" x14ac:dyDescent="0.25">
      <c r="A181" s="17" t="s">
        <v>77</v>
      </c>
      <c r="B181" s="6" t="s">
        <v>56</v>
      </c>
      <c r="C181" s="9">
        <v>210</v>
      </c>
      <c r="D181" s="9">
        <v>8.5</v>
      </c>
      <c r="E181" s="9">
        <v>12.6</v>
      </c>
      <c r="F181" s="9">
        <v>43.3</v>
      </c>
      <c r="G181" s="9">
        <v>320.7</v>
      </c>
      <c r="H181" s="9">
        <v>147</v>
      </c>
      <c r="I181" s="9">
        <v>67</v>
      </c>
      <c r="J181" s="9">
        <v>249</v>
      </c>
      <c r="K181" s="9">
        <v>49</v>
      </c>
      <c r="L181" s="9">
        <v>15</v>
      </c>
      <c r="M181" s="9">
        <v>2</v>
      </c>
      <c r="N181" s="9">
        <v>0.21</v>
      </c>
      <c r="O181" s="9">
        <v>0.15</v>
      </c>
      <c r="P181" s="9">
        <v>0.6</v>
      </c>
      <c r="Q181" s="9">
        <v>0</v>
      </c>
    </row>
    <row r="182" spans="1:17" ht="45" x14ac:dyDescent="0.25">
      <c r="A182" s="17" t="s">
        <v>91</v>
      </c>
      <c r="B182" s="6" t="s">
        <v>92</v>
      </c>
      <c r="C182" s="15">
        <v>200</v>
      </c>
      <c r="D182" s="15">
        <v>1.5</v>
      </c>
      <c r="E182" s="15">
        <v>1.4</v>
      </c>
      <c r="F182" s="15">
        <v>8.6</v>
      </c>
      <c r="G182" s="15">
        <v>52.9</v>
      </c>
      <c r="H182" s="15">
        <v>57</v>
      </c>
      <c r="I182" s="15">
        <v>10</v>
      </c>
      <c r="J182" s="15">
        <v>47</v>
      </c>
      <c r="K182" s="15">
        <v>4.5</v>
      </c>
      <c r="L182" s="15">
        <v>0.9</v>
      </c>
      <c r="M182" s="15">
        <v>1</v>
      </c>
      <c r="N182" s="15">
        <v>0</v>
      </c>
      <c r="O182" s="15">
        <v>0.06</v>
      </c>
      <c r="P182" s="15">
        <v>0.1</v>
      </c>
      <c r="Q182" s="15">
        <v>0</v>
      </c>
    </row>
    <row r="183" spans="1:17" ht="30" x14ac:dyDescent="0.25">
      <c r="A183" s="17" t="s">
        <v>24</v>
      </c>
      <c r="B183" s="6" t="s">
        <v>50</v>
      </c>
      <c r="C183" s="15">
        <v>30</v>
      </c>
      <c r="D183" s="15">
        <v>2.2799999999999998</v>
      </c>
      <c r="E183" s="15">
        <v>0.24</v>
      </c>
      <c r="F183" s="15">
        <v>14.76</v>
      </c>
      <c r="G183" s="15">
        <v>57.9</v>
      </c>
      <c r="H183" s="15">
        <v>5.7</v>
      </c>
      <c r="I183" s="15">
        <v>3.9</v>
      </c>
      <c r="J183" s="15">
        <v>19.5</v>
      </c>
      <c r="K183" s="15">
        <v>0</v>
      </c>
      <c r="L183" s="15">
        <v>0</v>
      </c>
      <c r="M183" s="15">
        <v>0.36</v>
      </c>
      <c r="N183" s="15">
        <v>3.3000000000000002E-2</v>
      </c>
      <c r="O183" s="15">
        <v>8.9999999999999993E-3</v>
      </c>
      <c r="P183" s="15">
        <v>0.27</v>
      </c>
      <c r="Q183" s="15">
        <v>0</v>
      </c>
    </row>
    <row r="184" spans="1:17" ht="15.75" x14ac:dyDescent="0.25">
      <c r="A184" s="3" t="s">
        <v>24</v>
      </c>
      <c r="B184" s="5" t="s">
        <v>106</v>
      </c>
      <c r="C184" s="9">
        <v>200</v>
      </c>
      <c r="D184" s="9">
        <v>2.8</v>
      </c>
      <c r="E184" s="9">
        <v>0</v>
      </c>
      <c r="F184" s="9">
        <v>40.799999999999997</v>
      </c>
      <c r="G184" s="9">
        <v>174.4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0.15</v>
      </c>
      <c r="Q184" s="9">
        <v>28.5</v>
      </c>
    </row>
    <row r="185" spans="1:17" ht="15.75" x14ac:dyDescent="0.25">
      <c r="A185" s="2"/>
      <c r="B185" s="11" t="s">
        <v>18</v>
      </c>
      <c r="C185" s="9">
        <f t="shared" ref="C185:Q185" si="16">SUM(C180:C184)</f>
        <v>670</v>
      </c>
      <c r="D185" s="9">
        <f t="shared" si="16"/>
        <v>22.1</v>
      </c>
      <c r="E185" s="9">
        <f t="shared" si="16"/>
        <v>23.24</v>
      </c>
      <c r="F185" s="9">
        <f t="shared" si="16"/>
        <v>107.46</v>
      </c>
      <c r="G185" s="9">
        <f t="shared" si="16"/>
        <v>714.99999999999989</v>
      </c>
      <c r="H185" s="9">
        <f t="shared" si="16"/>
        <v>509.7</v>
      </c>
      <c r="I185" s="9">
        <f t="shared" si="16"/>
        <v>94.9</v>
      </c>
      <c r="J185" s="9">
        <f t="shared" si="16"/>
        <v>478.5</v>
      </c>
      <c r="K185" s="9">
        <f t="shared" si="16"/>
        <v>53.5</v>
      </c>
      <c r="L185" s="9">
        <f t="shared" si="16"/>
        <v>15.9</v>
      </c>
      <c r="M185" s="9">
        <f t="shared" si="16"/>
        <v>3.36</v>
      </c>
      <c r="N185" s="9">
        <f t="shared" si="16"/>
        <v>0.253</v>
      </c>
      <c r="O185" s="9">
        <f t="shared" si="16"/>
        <v>0.309</v>
      </c>
      <c r="P185" s="9">
        <f t="shared" si="16"/>
        <v>1.21</v>
      </c>
      <c r="Q185" s="9">
        <f t="shared" si="16"/>
        <v>28.5</v>
      </c>
    </row>
    <row r="187" spans="1:17" x14ac:dyDescent="0.25">
      <c r="A187" s="45" t="s">
        <v>0</v>
      </c>
      <c r="B187" s="45" t="s">
        <v>1</v>
      </c>
      <c r="C187" s="45" t="s">
        <v>2</v>
      </c>
      <c r="D187" s="42" t="s">
        <v>3</v>
      </c>
      <c r="E187" s="43"/>
      <c r="F187" s="44"/>
      <c r="G187" s="45" t="s">
        <v>16</v>
      </c>
      <c r="H187" s="42" t="s">
        <v>7</v>
      </c>
      <c r="I187" s="43"/>
      <c r="J187" s="43"/>
      <c r="K187" s="43"/>
      <c r="L187" s="43"/>
      <c r="M187" s="44"/>
      <c r="N187" s="42" t="s">
        <v>19</v>
      </c>
      <c r="O187" s="43"/>
      <c r="P187" s="43"/>
      <c r="Q187" s="44"/>
    </row>
    <row r="188" spans="1:17" ht="30" x14ac:dyDescent="0.25">
      <c r="A188" s="46"/>
      <c r="B188" s="46"/>
      <c r="C188" s="46"/>
      <c r="D188" s="7" t="s">
        <v>4</v>
      </c>
      <c r="E188" s="8" t="s">
        <v>5</v>
      </c>
      <c r="F188" s="8" t="s">
        <v>6</v>
      </c>
      <c r="G188" s="46"/>
      <c r="H188" s="6" t="s">
        <v>8</v>
      </c>
      <c r="I188" s="6" t="s">
        <v>9</v>
      </c>
      <c r="J188" s="6" t="s">
        <v>10</v>
      </c>
      <c r="K188" s="33" t="s">
        <v>107</v>
      </c>
      <c r="L188" s="33" t="s">
        <v>108</v>
      </c>
      <c r="M188" s="6" t="s">
        <v>11</v>
      </c>
      <c r="N188" s="6" t="s">
        <v>12</v>
      </c>
      <c r="O188" s="6" t="s">
        <v>13</v>
      </c>
      <c r="P188" s="6" t="s">
        <v>14</v>
      </c>
      <c r="Q188" s="6" t="s">
        <v>15</v>
      </c>
    </row>
    <row r="189" spans="1:17" ht="15.75" x14ac:dyDescent="0.25">
      <c r="A189" s="1"/>
      <c r="B189" s="47" t="s">
        <v>17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9"/>
    </row>
    <row r="190" spans="1:17" ht="31.5" x14ac:dyDescent="0.25">
      <c r="A190" s="3" t="s">
        <v>74</v>
      </c>
      <c r="B190" s="4" t="s">
        <v>55</v>
      </c>
      <c r="C190" s="21">
        <v>30</v>
      </c>
      <c r="D190" s="21">
        <v>7.02</v>
      </c>
      <c r="E190" s="21">
        <v>9</v>
      </c>
      <c r="F190" s="21">
        <v>0</v>
      </c>
      <c r="G190" s="21">
        <v>109.1</v>
      </c>
      <c r="H190" s="21">
        <v>300</v>
      </c>
      <c r="I190" s="21">
        <v>14</v>
      </c>
      <c r="J190" s="21">
        <v>163</v>
      </c>
      <c r="K190" s="21">
        <v>0</v>
      </c>
      <c r="L190" s="21">
        <v>0</v>
      </c>
      <c r="M190" s="21">
        <v>0</v>
      </c>
      <c r="N190" s="21">
        <v>0.01</v>
      </c>
      <c r="O190" s="21">
        <v>0.09</v>
      </c>
      <c r="P190" s="21">
        <v>0.09</v>
      </c>
      <c r="Q190" s="21">
        <v>0</v>
      </c>
    </row>
    <row r="191" spans="1:17" ht="45" x14ac:dyDescent="0.25">
      <c r="A191" s="17" t="s">
        <v>77</v>
      </c>
      <c r="B191" s="6" t="s">
        <v>56</v>
      </c>
      <c r="C191" s="9">
        <v>215</v>
      </c>
      <c r="D191" s="9">
        <f>8.5*215/210</f>
        <v>8.7023809523809526</v>
      </c>
      <c r="E191" s="9">
        <f>12.6*215/210</f>
        <v>12.9</v>
      </c>
      <c r="F191" s="9">
        <f>43.3*215/210</f>
        <v>44.330952380952382</v>
      </c>
      <c r="G191" s="9">
        <f>320.7*215/210</f>
        <v>328.33571428571429</v>
      </c>
      <c r="H191" s="9">
        <f>147*215/210</f>
        <v>150.5</v>
      </c>
      <c r="I191" s="9">
        <f>67*215/210</f>
        <v>68.595238095238102</v>
      </c>
      <c r="J191" s="9">
        <f>249*215/210</f>
        <v>254.92857142857142</v>
      </c>
      <c r="K191" s="9">
        <f>49*215/210</f>
        <v>50.166666666666664</v>
      </c>
      <c r="L191" s="9">
        <f>15*215/210</f>
        <v>15.357142857142858</v>
      </c>
      <c r="M191" s="9">
        <f>2*215/210</f>
        <v>2.0476190476190474</v>
      </c>
      <c r="N191" s="9">
        <f>0.21*215/210</f>
        <v>0.215</v>
      </c>
      <c r="O191" s="9">
        <f>0.15*215/210</f>
        <v>0.15357142857142858</v>
      </c>
      <c r="P191" s="9">
        <f>0.6*215/210</f>
        <v>0.61428571428571432</v>
      </c>
      <c r="Q191" s="9">
        <v>0</v>
      </c>
    </row>
    <row r="192" spans="1:17" ht="45" x14ac:dyDescent="0.25">
      <c r="A192" s="17" t="s">
        <v>91</v>
      </c>
      <c r="B192" s="6" t="s">
        <v>92</v>
      </c>
      <c r="C192" s="15">
        <v>200</v>
      </c>
      <c r="D192" s="15">
        <v>1.5</v>
      </c>
      <c r="E192" s="15">
        <v>1.4</v>
      </c>
      <c r="F192" s="15">
        <v>8.6</v>
      </c>
      <c r="G192" s="15">
        <v>52.9</v>
      </c>
      <c r="H192" s="15">
        <v>57</v>
      </c>
      <c r="I192" s="15">
        <v>10</v>
      </c>
      <c r="J192" s="15">
        <v>47</v>
      </c>
      <c r="K192" s="15">
        <v>4.5</v>
      </c>
      <c r="L192" s="15">
        <v>0.9</v>
      </c>
      <c r="M192" s="15">
        <v>1</v>
      </c>
      <c r="N192" s="15">
        <v>0</v>
      </c>
      <c r="O192" s="15">
        <v>0.06</v>
      </c>
      <c r="P192" s="15">
        <v>0.1</v>
      </c>
      <c r="Q192" s="15">
        <v>0</v>
      </c>
    </row>
    <row r="193" spans="1:17" ht="30" x14ac:dyDescent="0.25">
      <c r="A193" s="17" t="s">
        <v>24</v>
      </c>
      <c r="B193" s="6" t="s">
        <v>50</v>
      </c>
      <c r="C193" s="15">
        <v>30</v>
      </c>
      <c r="D193" s="15">
        <v>2.2799999999999998</v>
      </c>
      <c r="E193" s="15">
        <v>0.24</v>
      </c>
      <c r="F193" s="15">
        <v>14.76</v>
      </c>
      <c r="G193" s="15">
        <v>57.9</v>
      </c>
      <c r="H193" s="15">
        <v>5.7</v>
      </c>
      <c r="I193" s="15">
        <v>3.9</v>
      </c>
      <c r="J193" s="15">
        <v>19.5</v>
      </c>
      <c r="K193" s="15">
        <v>0</v>
      </c>
      <c r="L193" s="15">
        <v>0</v>
      </c>
      <c r="M193" s="15">
        <v>0.36</v>
      </c>
      <c r="N193" s="15">
        <v>3.3000000000000002E-2</v>
      </c>
      <c r="O193" s="15">
        <v>8.9999999999999993E-3</v>
      </c>
      <c r="P193" s="15">
        <v>0.27</v>
      </c>
      <c r="Q193" s="15">
        <v>0</v>
      </c>
    </row>
    <row r="194" spans="1:17" ht="15.75" x14ac:dyDescent="0.25">
      <c r="A194" s="2"/>
      <c r="B194" s="11" t="s">
        <v>18</v>
      </c>
      <c r="C194" s="9">
        <f t="shared" ref="C194:Q194" si="17">SUM(C190:C193)</f>
        <v>475</v>
      </c>
      <c r="D194" s="9">
        <f t="shared" si="17"/>
        <v>19.502380952380953</v>
      </c>
      <c r="E194" s="9">
        <f t="shared" si="17"/>
        <v>23.539999999999996</v>
      </c>
      <c r="F194" s="9">
        <f t="shared" si="17"/>
        <v>67.690952380952382</v>
      </c>
      <c r="G194" s="9">
        <f t="shared" si="17"/>
        <v>548.23571428571427</v>
      </c>
      <c r="H194" s="9">
        <f t="shared" si="17"/>
        <v>513.20000000000005</v>
      </c>
      <c r="I194" s="9">
        <f t="shared" si="17"/>
        <v>96.495238095238108</v>
      </c>
      <c r="J194" s="9">
        <f t="shared" si="17"/>
        <v>484.42857142857144</v>
      </c>
      <c r="K194" s="9">
        <f t="shared" si="17"/>
        <v>54.666666666666664</v>
      </c>
      <c r="L194" s="9">
        <f t="shared" si="17"/>
        <v>16.257142857142856</v>
      </c>
      <c r="M194" s="9">
        <f t="shared" si="17"/>
        <v>3.4076190476190473</v>
      </c>
      <c r="N194" s="9">
        <f t="shared" si="17"/>
        <v>0.25800000000000001</v>
      </c>
      <c r="O194" s="9">
        <f t="shared" si="17"/>
        <v>0.31257142857142861</v>
      </c>
      <c r="P194" s="9">
        <f t="shared" si="17"/>
        <v>1.0742857142857143</v>
      </c>
      <c r="Q194" s="9">
        <f t="shared" si="17"/>
        <v>0</v>
      </c>
    </row>
    <row r="198" spans="1:17" ht="42.75" customHeight="1" x14ac:dyDescent="0.25"/>
    <row r="199" spans="1:17" x14ac:dyDescent="0.25">
      <c r="N199" s="50" t="s">
        <v>135</v>
      </c>
      <c r="O199" s="50"/>
      <c r="P199" s="50"/>
      <c r="Q199" s="50"/>
    </row>
    <row r="200" spans="1:17" x14ac:dyDescent="0.25">
      <c r="N200" s="50" t="s">
        <v>136</v>
      </c>
      <c r="O200" s="50"/>
      <c r="P200" s="50"/>
      <c r="Q200" s="50"/>
    </row>
    <row r="201" spans="1:17" x14ac:dyDescent="0.25">
      <c r="B201" s="14" t="s">
        <v>144</v>
      </c>
      <c r="N201" s="50" t="s">
        <v>139</v>
      </c>
      <c r="O201" s="50"/>
      <c r="P201" s="50"/>
      <c r="Q201" s="50"/>
    </row>
    <row r="202" spans="1:17" x14ac:dyDescent="0.25">
      <c r="N202" s="52" t="s">
        <v>137</v>
      </c>
      <c r="O202" s="52"/>
      <c r="P202" s="52"/>
      <c r="Q202" s="52"/>
    </row>
    <row r="203" spans="1:17" x14ac:dyDescent="0.25">
      <c r="A203" s="45" t="s">
        <v>0</v>
      </c>
      <c r="B203" s="45" t="s">
        <v>1</v>
      </c>
      <c r="C203" s="45" t="s">
        <v>2</v>
      </c>
      <c r="D203" s="42" t="s">
        <v>3</v>
      </c>
      <c r="E203" s="43"/>
      <c r="F203" s="44"/>
      <c r="G203" s="45" t="s">
        <v>16</v>
      </c>
      <c r="H203" s="42" t="s">
        <v>7</v>
      </c>
      <c r="I203" s="43"/>
      <c r="J203" s="43"/>
      <c r="K203" s="43"/>
      <c r="L203" s="43"/>
      <c r="M203" s="44"/>
      <c r="N203" s="42" t="s">
        <v>19</v>
      </c>
      <c r="O203" s="43"/>
      <c r="P203" s="43"/>
      <c r="Q203" s="44"/>
    </row>
    <row r="204" spans="1:17" ht="30" x14ac:dyDescent="0.25">
      <c r="A204" s="46"/>
      <c r="B204" s="46"/>
      <c r="C204" s="46"/>
      <c r="D204" s="7" t="s">
        <v>4</v>
      </c>
      <c r="E204" s="8" t="s">
        <v>5</v>
      </c>
      <c r="F204" s="8" t="s">
        <v>6</v>
      </c>
      <c r="G204" s="46"/>
      <c r="H204" s="6" t="s">
        <v>8</v>
      </c>
      <c r="I204" s="6" t="s">
        <v>9</v>
      </c>
      <c r="J204" s="6" t="s">
        <v>10</v>
      </c>
      <c r="K204" s="33" t="s">
        <v>107</v>
      </c>
      <c r="L204" s="33" t="s">
        <v>108</v>
      </c>
      <c r="M204" s="6" t="s">
        <v>11</v>
      </c>
      <c r="N204" s="6" t="s">
        <v>12</v>
      </c>
      <c r="O204" s="6" t="s">
        <v>13</v>
      </c>
      <c r="P204" s="6" t="s">
        <v>14</v>
      </c>
      <c r="Q204" s="6" t="s">
        <v>15</v>
      </c>
    </row>
    <row r="205" spans="1:17" ht="15.75" x14ac:dyDescent="0.25">
      <c r="A205" s="1"/>
      <c r="B205" s="47" t="s">
        <v>17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9"/>
    </row>
    <row r="206" spans="1:17" ht="31.5" x14ac:dyDescent="0.25">
      <c r="A206" s="3" t="s">
        <v>130</v>
      </c>
      <c r="B206" s="4" t="s">
        <v>131</v>
      </c>
      <c r="C206" s="21">
        <v>60</v>
      </c>
      <c r="D206" s="21">
        <v>0.5</v>
      </c>
      <c r="E206" s="21">
        <v>5.4</v>
      </c>
      <c r="F206" s="21">
        <v>3.9</v>
      </c>
      <c r="G206" s="21">
        <v>66.099999999999994</v>
      </c>
      <c r="H206" s="21">
        <v>23</v>
      </c>
      <c r="I206" s="21">
        <v>16</v>
      </c>
      <c r="J206" s="21">
        <v>22</v>
      </c>
      <c r="K206" s="21">
        <v>0</v>
      </c>
      <c r="L206" s="21">
        <v>0.03</v>
      </c>
      <c r="M206" s="21">
        <v>0.03</v>
      </c>
      <c r="N206" s="21">
        <v>0.4</v>
      </c>
      <c r="O206" s="21">
        <v>4</v>
      </c>
      <c r="P206" s="38"/>
      <c r="Q206" s="39"/>
    </row>
    <row r="207" spans="1:17" ht="31.5" x14ac:dyDescent="0.25">
      <c r="A207" s="3" t="s">
        <v>81</v>
      </c>
      <c r="B207" s="4" t="s">
        <v>58</v>
      </c>
      <c r="C207" s="21">
        <v>150</v>
      </c>
      <c r="D207" s="21">
        <v>3</v>
      </c>
      <c r="E207" s="21">
        <v>5.7</v>
      </c>
      <c r="F207" s="21">
        <v>23.7</v>
      </c>
      <c r="G207" s="21">
        <v>158.30000000000001</v>
      </c>
      <c r="H207" s="21">
        <v>40</v>
      </c>
      <c r="I207" s="21">
        <v>28</v>
      </c>
      <c r="J207" s="21">
        <v>84</v>
      </c>
      <c r="K207" s="21">
        <v>28.5</v>
      </c>
      <c r="L207" s="21">
        <v>0.8</v>
      </c>
      <c r="M207" s="21">
        <v>1</v>
      </c>
      <c r="N207" s="21">
        <v>0.12</v>
      </c>
      <c r="O207" s="21">
        <v>7.0000000000000007E-2</v>
      </c>
      <c r="P207" s="21">
        <v>0.9</v>
      </c>
      <c r="Q207" s="21">
        <v>10</v>
      </c>
    </row>
    <row r="208" spans="1:17" ht="31.5" x14ac:dyDescent="0.25">
      <c r="A208" s="17" t="s">
        <v>84</v>
      </c>
      <c r="B208" s="6" t="s">
        <v>59</v>
      </c>
      <c r="C208" s="9">
        <v>50</v>
      </c>
      <c r="D208" s="9">
        <v>1.35</v>
      </c>
      <c r="E208" s="9">
        <v>2.1</v>
      </c>
      <c r="F208" s="9">
        <v>2.2000000000000002</v>
      </c>
      <c r="G208" s="9">
        <v>32.75</v>
      </c>
      <c r="H208" s="9">
        <v>2.5</v>
      </c>
      <c r="I208" s="9">
        <v>1</v>
      </c>
      <c r="J208" s="9">
        <v>4.5</v>
      </c>
      <c r="K208" s="9">
        <v>0.7</v>
      </c>
      <c r="L208" s="9">
        <v>0.15</v>
      </c>
      <c r="M208" s="9">
        <v>0</v>
      </c>
      <c r="N208" s="9">
        <v>5.0000000000000001E-3</v>
      </c>
      <c r="O208" s="9">
        <v>0</v>
      </c>
      <c r="P208" s="9">
        <v>0.05</v>
      </c>
      <c r="Q208" s="9">
        <v>0</v>
      </c>
    </row>
    <row r="209" spans="1:17" ht="45" x14ac:dyDescent="0.25">
      <c r="A209" s="17" t="s">
        <v>110</v>
      </c>
      <c r="B209" s="6" t="s">
        <v>111</v>
      </c>
      <c r="C209" s="15">
        <v>80</v>
      </c>
      <c r="D209" s="15">
        <v>15.3</v>
      </c>
      <c r="E209" s="15">
        <v>19.899999999999999</v>
      </c>
      <c r="F209" s="15">
        <v>4.4000000000000004</v>
      </c>
      <c r="G209" s="15">
        <v>257.89999999999998</v>
      </c>
      <c r="H209" s="15">
        <v>87</v>
      </c>
      <c r="I209" s="15">
        <v>47</v>
      </c>
      <c r="J209" s="15">
        <v>55</v>
      </c>
      <c r="K209" s="15">
        <v>136.30000000000001</v>
      </c>
      <c r="L209" s="15">
        <v>11.8</v>
      </c>
      <c r="M209" s="15">
        <v>1</v>
      </c>
      <c r="N209" s="15">
        <v>7.0000000000000007E-2</v>
      </c>
      <c r="O209" s="15">
        <v>0.15</v>
      </c>
      <c r="P209" s="15">
        <v>0.8</v>
      </c>
      <c r="Q209" s="15">
        <v>0</v>
      </c>
    </row>
    <row r="210" spans="1:17" ht="30" x14ac:dyDescent="0.25">
      <c r="A210" s="17" t="s">
        <v>24</v>
      </c>
      <c r="B210" s="6" t="s">
        <v>50</v>
      </c>
      <c r="C210" s="15">
        <v>30</v>
      </c>
      <c r="D210" s="15">
        <v>2.2799999999999998</v>
      </c>
      <c r="E210" s="15">
        <v>0.24</v>
      </c>
      <c r="F210" s="15">
        <v>14.76</v>
      </c>
      <c r="G210" s="15">
        <v>57.9</v>
      </c>
      <c r="H210" s="15">
        <v>5.7</v>
      </c>
      <c r="I210" s="15">
        <v>3.9</v>
      </c>
      <c r="J210" s="15">
        <v>19.5</v>
      </c>
      <c r="K210" s="15">
        <v>0</v>
      </c>
      <c r="L210" s="15">
        <v>0</v>
      </c>
      <c r="M210" s="15">
        <v>0.36</v>
      </c>
      <c r="N210" s="15">
        <v>3.3000000000000002E-2</v>
      </c>
      <c r="O210" s="15">
        <v>8.9999999999999993E-3</v>
      </c>
      <c r="P210" s="15">
        <v>0.27</v>
      </c>
      <c r="Q210" s="15">
        <v>0</v>
      </c>
    </row>
    <row r="211" spans="1:17" ht="45" x14ac:dyDescent="0.25">
      <c r="A211" s="3" t="s">
        <v>89</v>
      </c>
      <c r="B211" s="5" t="s">
        <v>90</v>
      </c>
      <c r="C211" s="9">
        <v>200</v>
      </c>
      <c r="D211" s="9">
        <v>0.3</v>
      </c>
      <c r="E211" s="9">
        <v>0</v>
      </c>
      <c r="F211" s="9">
        <v>6.7</v>
      </c>
      <c r="G211" s="9">
        <v>27.6</v>
      </c>
      <c r="H211" s="9">
        <v>6</v>
      </c>
      <c r="I211" s="9">
        <v>5</v>
      </c>
      <c r="J211" s="9">
        <v>8</v>
      </c>
      <c r="K211" s="9">
        <v>0</v>
      </c>
      <c r="L211" s="9">
        <v>0</v>
      </c>
      <c r="M211" s="9">
        <v>1</v>
      </c>
      <c r="N211" s="9">
        <v>0</v>
      </c>
      <c r="O211" s="9">
        <v>0.01</v>
      </c>
      <c r="P211" s="9">
        <v>7.0000000000000007E-2</v>
      </c>
      <c r="Q211" s="9">
        <v>1</v>
      </c>
    </row>
    <row r="212" spans="1:17" ht="15.75" x14ac:dyDescent="0.25">
      <c r="A212" s="2"/>
      <c r="B212" s="11" t="s">
        <v>18</v>
      </c>
      <c r="C212" s="9">
        <f t="shared" ref="C212:Q212" si="18">SUM(C207:C211)</f>
        <v>510</v>
      </c>
      <c r="D212" s="9">
        <f t="shared" si="18"/>
        <v>22.23</v>
      </c>
      <c r="E212" s="9">
        <f t="shared" si="18"/>
        <v>27.939999999999998</v>
      </c>
      <c r="F212" s="9">
        <f t="shared" si="18"/>
        <v>51.76</v>
      </c>
      <c r="G212" s="9">
        <f t="shared" si="18"/>
        <v>534.44999999999993</v>
      </c>
      <c r="H212" s="9">
        <f t="shared" si="18"/>
        <v>141.19999999999999</v>
      </c>
      <c r="I212" s="9">
        <f t="shared" si="18"/>
        <v>84.9</v>
      </c>
      <c r="J212" s="9">
        <f t="shared" si="18"/>
        <v>171</v>
      </c>
      <c r="K212" s="9">
        <f t="shared" si="18"/>
        <v>165.5</v>
      </c>
      <c r="L212" s="9">
        <f t="shared" si="18"/>
        <v>12.75</v>
      </c>
      <c r="M212" s="9">
        <f t="shared" si="18"/>
        <v>3.36</v>
      </c>
      <c r="N212" s="9">
        <f t="shared" si="18"/>
        <v>0.22800000000000001</v>
      </c>
      <c r="O212" s="9">
        <f t="shared" si="18"/>
        <v>0.23900000000000002</v>
      </c>
      <c r="P212" s="9">
        <f t="shared" si="18"/>
        <v>2.09</v>
      </c>
      <c r="Q212" s="9">
        <f t="shared" si="18"/>
        <v>11</v>
      </c>
    </row>
    <row r="214" spans="1:17" x14ac:dyDescent="0.25">
      <c r="A214" s="45" t="s">
        <v>0</v>
      </c>
      <c r="B214" s="45" t="s">
        <v>1</v>
      </c>
      <c r="C214" s="45" t="s">
        <v>2</v>
      </c>
      <c r="D214" s="42" t="s">
        <v>3</v>
      </c>
      <c r="E214" s="43"/>
      <c r="F214" s="44"/>
      <c r="G214" s="45" t="s">
        <v>16</v>
      </c>
      <c r="H214" s="42" t="s">
        <v>7</v>
      </c>
      <c r="I214" s="43"/>
      <c r="J214" s="43"/>
      <c r="K214" s="43"/>
      <c r="L214" s="43"/>
      <c r="M214" s="44"/>
      <c r="N214" s="42" t="s">
        <v>19</v>
      </c>
      <c r="O214" s="43"/>
      <c r="P214" s="43"/>
      <c r="Q214" s="44"/>
    </row>
    <row r="215" spans="1:17" ht="30" x14ac:dyDescent="0.25">
      <c r="A215" s="46"/>
      <c r="B215" s="46"/>
      <c r="C215" s="46"/>
      <c r="D215" s="7" t="s">
        <v>4</v>
      </c>
      <c r="E215" s="8" t="s">
        <v>5</v>
      </c>
      <c r="F215" s="8" t="s">
        <v>6</v>
      </c>
      <c r="G215" s="46"/>
      <c r="H215" s="6" t="s">
        <v>8</v>
      </c>
      <c r="I215" s="6" t="s">
        <v>9</v>
      </c>
      <c r="J215" s="6" t="s">
        <v>10</v>
      </c>
      <c r="K215" s="33" t="s">
        <v>107</v>
      </c>
      <c r="L215" s="33" t="s">
        <v>108</v>
      </c>
      <c r="M215" s="6" t="s">
        <v>11</v>
      </c>
      <c r="N215" s="6" t="s">
        <v>12</v>
      </c>
      <c r="O215" s="6" t="s">
        <v>13</v>
      </c>
      <c r="P215" s="6" t="s">
        <v>14</v>
      </c>
      <c r="Q215" s="6" t="s">
        <v>15</v>
      </c>
    </row>
    <row r="216" spans="1:17" ht="15.75" x14ac:dyDescent="0.25">
      <c r="A216" s="1"/>
      <c r="B216" s="47" t="s">
        <v>17</v>
      </c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9"/>
    </row>
    <row r="217" spans="1:17" ht="31.5" x14ac:dyDescent="0.25">
      <c r="A217" s="3" t="s">
        <v>81</v>
      </c>
      <c r="B217" s="4" t="s">
        <v>58</v>
      </c>
      <c r="C217" s="21">
        <v>200</v>
      </c>
      <c r="D217" s="21">
        <f>3*200/150</f>
        <v>4</v>
      </c>
      <c r="E217" s="21">
        <f>5.7*200/150</f>
        <v>7.6</v>
      </c>
      <c r="F217" s="21">
        <f>23.7*200/150</f>
        <v>31.6</v>
      </c>
      <c r="G217" s="21">
        <f>158.3*200/150</f>
        <v>211.06666666666669</v>
      </c>
      <c r="H217" s="21">
        <f>40*200/150</f>
        <v>53.333333333333336</v>
      </c>
      <c r="I217" s="21">
        <f>28*200/150</f>
        <v>37.333333333333336</v>
      </c>
      <c r="J217" s="21">
        <f>84*200/150</f>
        <v>112</v>
      </c>
      <c r="K217" s="21">
        <f>28.5*200/150</f>
        <v>38</v>
      </c>
      <c r="L217" s="21">
        <f>0.8*200/150</f>
        <v>1.0666666666666667</v>
      </c>
      <c r="M217" s="21">
        <f>1*200/150</f>
        <v>1.3333333333333333</v>
      </c>
      <c r="N217" s="21">
        <f>0.12*200/150</f>
        <v>0.16</v>
      </c>
      <c r="O217" s="21">
        <f>0.07*200/150</f>
        <v>9.3333333333333351E-2</v>
      </c>
      <c r="P217" s="21">
        <f>0.9*200/150</f>
        <v>1.2</v>
      </c>
      <c r="Q217" s="21">
        <f>10*200/150</f>
        <v>13.333333333333334</v>
      </c>
    </row>
    <row r="218" spans="1:17" ht="31.5" x14ac:dyDescent="0.25">
      <c r="A218" s="17" t="s">
        <v>84</v>
      </c>
      <c r="B218" s="6" t="s">
        <v>59</v>
      </c>
      <c r="C218" s="9">
        <v>50</v>
      </c>
      <c r="D218" s="9">
        <v>1.35</v>
      </c>
      <c r="E218" s="9">
        <v>2.1</v>
      </c>
      <c r="F218" s="9">
        <v>2.2000000000000002</v>
      </c>
      <c r="G218" s="9">
        <v>32.75</v>
      </c>
      <c r="H218" s="9">
        <v>2.5</v>
      </c>
      <c r="I218" s="9">
        <v>1</v>
      </c>
      <c r="J218" s="9">
        <v>4.5</v>
      </c>
      <c r="K218" s="9">
        <v>0.7</v>
      </c>
      <c r="L218" s="9">
        <v>0.15</v>
      </c>
      <c r="M218" s="9">
        <v>0</v>
      </c>
      <c r="N218" s="9">
        <v>5.0000000000000001E-3</v>
      </c>
      <c r="O218" s="9">
        <v>0</v>
      </c>
      <c r="P218" s="9">
        <v>0.05</v>
      </c>
      <c r="Q218" s="9">
        <v>0</v>
      </c>
    </row>
    <row r="219" spans="1:17" ht="45" x14ac:dyDescent="0.25">
      <c r="A219" s="17" t="s">
        <v>110</v>
      </c>
      <c r="B219" s="6" t="s">
        <v>111</v>
      </c>
      <c r="C219" s="15">
        <v>80</v>
      </c>
      <c r="D219" s="15">
        <v>15.3</v>
      </c>
      <c r="E219" s="15">
        <v>19.899999999999999</v>
      </c>
      <c r="F219" s="15">
        <v>4.4000000000000004</v>
      </c>
      <c r="G219" s="15">
        <v>257.89999999999998</v>
      </c>
      <c r="H219" s="15">
        <v>87</v>
      </c>
      <c r="I219" s="15">
        <v>47</v>
      </c>
      <c r="J219" s="15">
        <v>55</v>
      </c>
      <c r="K219" s="15">
        <v>136.30000000000001</v>
      </c>
      <c r="L219" s="15">
        <v>11.8</v>
      </c>
      <c r="M219" s="15">
        <v>1</v>
      </c>
      <c r="N219" s="15">
        <v>7.0000000000000007E-2</v>
      </c>
      <c r="O219" s="15">
        <v>0.15</v>
      </c>
      <c r="P219" s="15">
        <v>0.8</v>
      </c>
      <c r="Q219" s="15">
        <v>0</v>
      </c>
    </row>
    <row r="220" spans="1:17" ht="30" x14ac:dyDescent="0.25">
      <c r="A220" s="17" t="s">
        <v>24</v>
      </c>
      <c r="B220" s="6" t="s">
        <v>50</v>
      </c>
      <c r="C220" s="15">
        <v>30</v>
      </c>
      <c r="D220" s="15">
        <v>2.2799999999999998</v>
      </c>
      <c r="E220" s="15">
        <v>0.24</v>
      </c>
      <c r="F220" s="15">
        <v>14.76</v>
      </c>
      <c r="G220" s="15">
        <v>57.9</v>
      </c>
      <c r="H220" s="15">
        <v>5.7</v>
      </c>
      <c r="I220" s="15">
        <v>3.9</v>
      </c>
      <c r="J220" s="15">
        <v>19.5</v>
      </c>
      <c r="K220" s="15">
        <v>0</v>
      </c>
      <c r="L220" s="15">
        <v>0</v>
      </c>
      <c r="M220" s="15">
        <v>0.36</v>
      </c>
      <c r="N220" s="15">
        <v>3.3000000000000002E-2</v>
      </c>
      <c r="O220" s="15">
        <v>8.9999999999999993E-3</v>
      </c>
      <c r="P220" s="15">
        <v>0.27</v>
      </c>
      <c r="Q220" s="15">
        <v>0</v>
      </c>
    </row>
    <row r="221" spans="1:17" ht="45" x14ac:dyDescent="0.25">
      <c r="A221" s="3" t="s">
        <v>89</v>
      </c>
      <c r="B221" s="5" t="s">
        <v>90</v>
      </c>
      <c r="C221" s="9">
        <v>200</v>
      </c>
      <c r="D221" s="9">
        <v>0.3</v>
      </c>
      <c r="E221" s="9">
        <v>0</v>
      </c>
      <c r="F221" s="9">
        <v>6.7</v>
      </c>
      <c r="G221" s="9">
        <v>27.6</v>
      </c>
      <c r="H221" s="9">
        <v>6</v>
      </c>
      <c r="I221" s="9">
        <v>5</v>
      </c>
      <c r="J221" s="9">
        <v>8</v>
      </c>
      <c r="K221" s="9">
        <v>0</v>
      </c>
      <c r="L221" s="9">
        <v>0</v>
      </c>
      <c r="M221" s="9">
        <v>1</v>
      </c>
      <c r="N221" s="9">
        <v>0</v>
      </c>
      <c r="O221" s="9">
        <v>0.01</v>
      </c>
      <c r="P221" s="9">
        <v>7.0000000000000007E-2</v>
      </c>
      <c r="Q221" s="9">
        <v>1</v>
      </c>
    </row>
    <row r="222" spans="1:17" ht="15.75" x14ac:dyDescent="0.25">
      <c r="A222" s="2"/>
      <c r="B222" s="11" t="s">
        <v>18</v>
      </c>
      <c r="C222" s="9">
        <f t="shared" ref="C222:Q222" si="19">SUM(C217:C221)</f>
        <v>560</v>
      </c>
      <c r="D222" s="9">
        <f t="shared" si="19"/>
        <v>23.23</v>
      </c>
      <c r="E222" s="9">
        <f t="shared" si="19"/>
        <v>29.839999999999996</v>
      </c>
      <c r="F222" s="9">
        <f t="shared" si="19"/>
        <v>59.660000000000004</v>
      </c>
      <c r="G222" s="9">
        <f t="shared" si="19"/>
        <v>587.2166666666667</v>
      </c>
      <c r="H222" s="9">
        <f t="shared" si="19"/>
        <v>154.53333333333333</v>
      </c>
      <c r="I222" s="9">
        <f t="shared" si="19"/>
        <v>94.233333333333348</v>
      </c>
      <c r="J222" s="9">
        <f t="shared" si="19"/>
        <v>199</v>
      </c>
      <c r="K222" s="9">
        <f t="shared" si="19"/>
        <v>175</v>
      </c>
      <c r="L222" s="9">
        <f t="shared" si="19"/>
        <v>13.016666666666667</v>
      </c>
      <c r="M222" s="9">
        <f t="shared" si="19"/>
        <v>3.6933333333333329</v>
      </c>
      <c r="N222" s="9">
        <f t="shared" si="19"/>
        <v>0.26800000000000002</v>
      </c>
      <c r="O222" s="9">
        <f t="shared" si="19"/>
        <v>0.26233333333333336</v>
      </c>
      <c r="P222" s="9">
        <f t="shared" si="19"/>
        <v>2.3899999999999997</v>
      </c>
      <c r="Q222" s="9">
        <f t="shared" si="19"/>
        <v>14.333333333333334</v>
      </c>
    </row>
    <row r="224" spans="1:17" x14ac:dyDescent="0.25">
      <c r="N224" s="50" t="s">
        <v>135</v>
      </c>
      <c r="O224" s="50"/>
      <c r="P224" s="50"/>
      <c r="Q224" s="50"/>
    </row>
    <row r="225" spans="1:17" x14ac:dyDescent="0.25">
      <c r="N225" s="50" t="s">
        <v>136</v>
      </c>
      <c r="O225" s="50"/>
      <c r="P225" s="50"/>
      <c r="Q225" s="50"/>
    </row>
    <row r="226" spans="1:17" x14ac:dyDescent="0.25">
      <c r="B226" s="14" t="s">
        <v>145</v>
      </c>
      <c r="N226" s="50" t="s">
        <v>139</v>
      </c>
      <c r="O226" s="50"/>
      <c r="P226" s="50"/>
      <c r="Q226" s="50"/>
    </row>
    <row r="227" spans="1:17" x14ac:dyDescent="0.25">
      <c r="N227" s="52" t="s">
        <v>137</v>
      </c>
      <c r="O227" s="52"/>
      <c r="P227" s="52"/>
      <c r="Q227" s="52"/>
    </row>
    <row r="228" spans="1:17" x14ac:dyDescent="0.25">
      <c r="A228" s="45" t="s">
        <v>0</v>
      </c>
      <c r="B228" s="45" t="s">
        <v>1</v>
      </c>
      <c r="C228" s="45" t="s">
        <v>2</v>
      </c>
      <c r="D228" s="42" t="s">
        <v>3</v>
      </c>
      <c r="E228" s="43"/>
      <c r="F228" s="44"/>
      <c r="G228" s="45" t="s">
        <v>16</v>
      </c>
      <c r="H228" s="42" t="s">
        <v>7</v>
      </c>
      <c r="I228" s="43"/>
      <c r="J228" s="43"/>
      <c r="K228" s="43"/>
      <c r="L228" s="43"/>
      <c r="M228" s="44"/>
      <c r="N228" s="42" t="s">
        <v>19</v>
      </c>
      <c r="O228" s="43"/>
      <c r="P228" s="43"/>
      <c r="Q228" s="44"/>
    </row>
    <row r="229" spans="1:17" ht="30" x14ac:dyDescent="0.25">
      <c r="A229" s="46"/>
      <c r="B229" s="46"/>
      <c r="C229" s="46"/>
      <c r="D229" s="7" t="s">
        <v>4</v>
      </c>
      <c r="E229" s="8" t="s">
        <v>5</v>
      </c>
      <c r="F229" s="8" t="s">
        <v>6</v>
      </c>
      <c r="G229" s="46"/>
      <c r="H229" s="6" t="s">
        <v>8</v>
      </c>
      <c r="I229" s="6" t="s">
        <v>9</v>
      </c>
      <c r="J229" s="6" t="s">
        <v>10</v>
      </c>
      <c r="K229" s="33" t="s">
        <v>107</v>
      </c>
      <c r="L229" s="33" t="s">
        <v>108</v>
      </c>
      <c r="M229" s="6" t="s">
        <v>11</v>
      </c>
      <c r="N229" s="6" t="s">
        <v>12</v>
      </c>
      <c r="O229" s="6" t="s">
        <v>13</v>
      </c>
      <c r="P229" s="6" t="s">
        <v>14</v>
      </c>
      <c r="Q229" s="6" t="s">
        <v>15</v>
      </c>
    </row>
    <row r="230" spans="1:17" ht="15.75" x14ac:dyDescent="0.25">
      <c r="A230" s="1"/>
      <c r="B230" s="47" t="s">
        <v>146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9"/>
    </row>
    <row r="231" spans="1:17" ht="31.5" x14ac:dyDescent="0.25">
      <c r="A231" s="3" t="s">
        <v>83</v>
      </c>
      <c r="B231" s="4" t="s">
        <v>23</v>
      </c>
      <c r="C231" s="21">
        <v>200</v>
      </c>
      <c r="D231" s="21">
        <v>32.299999999999997</v>
      </c>
      <c r="E231" s="21">
        <v>21.6</v>
      </c>
      <c r="F231" s="21">
        <v>30</v>
      </c>
      <c r="G231" s="21">
        <v>443.3</v>
      </c>
      <c r="H231" s="21">
        <v>292</v>
      </c>
      <c r="I231" s="21">
        <v>45</v>
      </c>
      <c r="J231" s="21">
        <v>389</v>
      </c>
      <c r="K231" s="21">
        <v>38</v>
      </c>
      <c r="L231" s="21">
        <v>52.1</v>
      </c>
      <c r="M231" s="21">
        <v>1</v>
      </c>
      <c r="N231" s="21">
        <v>0.11</v>
      </c>
      <c r="O231" s="21">
        <v>0.46</v>
      </c>
      <c r="P231" s="21">
        <v>1.1000000000000001</v>
      </c>
      <c r="Q231" s="21">
        <v>0</v>
      </c>
    </row>
    <row r="232" spans="1:17" ht="30" x14ac:dyDescent="0.25">
      <c r="A232" s="17" t="s">
        <v>24</v>
      </c>
      <c r="B232" s="6" t="s">
        <v>50</v>
      </c>
      <c r="C232" s="15">
        <v>30</v>
      </c>
      <c r="D232" s="15">
        <v>2.2799999999999998</v>
      </c>
      <c r="E232" s="15">
        <v>0.24</v>
      </c>
      <c r="F232" s="15">
        <v>14.76</v>
      </c>
      <c r="G232" s="15">
        <v>57.9</v>
      </c>
      <c r="H232" s="15">
        <v>5.7</v>
      </c>
      <c r="I232" s="15">
        <v>3.9</v>
      </c>
      <c r="J232" s="15">
        <v>19.5</v>
      </c>
      <c r="K232" s="15">
        <v>0</v>
      </c>
      <c r="L232" s="15">
        <v>0</v>
      </c>
      <c r="M232" s="15">
        <v>0.36</v>
      </c>
      <c r="N232" s="15">
        <v>3.3000000000000002E-2</v>
      </c>
      <c r="O232" s="15">
        <v>8.9999999999999993E-3</v>
      </c>
      <c r="P232" s="15">
        <v>0.27</v>
      </c>
      <c r="Q232" s="15">
        <v>0</v>
      </c>
    </row>
    <row r="233" spans="1:17" ht="31.5" x14ac:dyDescent="0.25">
      <c r="A233" s="17" t="s">
        <v>86</v>
      </c>
      <c r="B233" s="6" t="s">
        <v>87</v>
      </c>
      <c r="C233" s="15">
        <v>200</v>
      </c>
      <c r="D233" s="15">
        <v>0.2</v>
      </c>
      <c r="E233" s="15">
        <v>0</v>
      </c>
      <c r="F233" s="15">
        <v>0.1</v>
      </c>
      <c r="G233" s="15">
        <v>1</v>
      </c>
      <c r="H233" s="15">
        <v>4</v>
      </c>
      <c r="I233" s="15">
        <v>4</v>
      </c>
      <c r="J233" s="15">
        <v>7</v>
      </c>
      <c r="K233" s="15">
        <v>0</v>
      </c>
      <c r="L233" s="15">
        <v>0</v>
      </c>
      <c r="M233" s="15">
        <v>1</v>
      </c>
      <c r="N233" s="15">
        <v>0</v>
      </c>
      <c r="O233" s="15">
        <v>0.01</v>
      </c>
      <c r="P233" s="15">
        <v>0.06</v>
      </c>
      <c r="Q233" s="15">
        <v>0</v>
      </c>
    </row>
    <row r="234" spans="1:17" ht="31.5" x14ac:dyDescent="0.25">
      <c r="A234" s="17" t="s">
        <v>75</v>
      </c>
      <c r="B234" s="5" t="s">
        <v>51</v>
      </c>
      <c r="C234" s="15">
        <v>10</v>
      </c>
      <c r="D234" s="15">
        <v>0.1</v>
      </c>
      <c r="E234" s="15">
        <v>8.3000000000000007</v>
      </c>
      <c r="F234" s="15">
        <v>0.1</v>
      </c>
      <c r="G234" s="15">
        <v>74.900000000000006</v>
      </c>
      <c r="H234" s="15">
        <v>2</v>
      </c>
      <c r="I234" s="15">
        <v>0</v>
      </c>
      <c r="J234" s="15">
        <v>2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0.01</v>
      </c>
      <c r="Q234" s="15">
        <v>0</v>
      </c>
    </row>
    <row r="235" spans="1:17" ht="15.75" x14ac:dyDescent="0.25">
      <c r="A235" s="2"/>
      <c r="B235" s="11" t="s">
        <v>18</v>
      </c>
      <c r="C235" s="9">
        <f t="shared" ref="C235:Q235" si="20">SUM(C231:C234)</f>
        <v>440</v>
      </c>
      <c r="D235" s="9">
        <f t="shared" si="20"/>
        <v>34.880000000000003</v>
      </c>
      <c r="E235" s="9">
        <f t="shared" si="20"/>
        <v>30.14</v>
      </c>
      <c r="F235" s="9">
        <f t="shared" si="20"/>
        <v>44.96</v>
      </c>
      <c r="G235" s="9">
        <f t="shared" si="20"/>
        <v>577.1</v>
      </c>
      <c r="H235" s="9">
        <f t="shared" si="20"/>
        <v>303.7</v>
      </c>
      <c r="I235" s="9">
        <f t="shared" si="20"/>
        <v>52.9</v>
      </c>
      <c r="J235" s="9">
        <f t="shared" si="20"/>
        <v>417.5</v>
      </c>
      <c r="K235" s="9">
        <f t="shared" si="20"/>
        <v>38</v>
      </c>
      <c r="L235" s="9">
        <f t="shared" si="20"/>
        <v>52.1</v>
      </c>
      <c r="M235" s="9">
        <f t="shared" si="20"/>
        <v>2.36</v>
      </c>
      <c r="N235" s="9">
        <f t="shared" si="20"/>
        <v>0.14300000000000002</v>
      </c>
      <c r="O235" s="9">
        <f t="shared" si="20"/>
        <v>0.47900000000000004</v>
      </c>
      <c r="P235" s="9">
        <f t="shared" si="20"/>
        <v>1.4400000000000002</v>
      </c>
      <c r="Q235" s="9">
        <f t="shared" si="20"/>
        <v>0</v>
      </c>
    </row>
    <row r="237" spans="1:17" x14ac:dyDescent="0.25">
      <c r="A237" s="45" t="s">
        <v>0</v>
      </c>
      <c r="B237" s="45" t="s">
        <v>1</v>
      </c>
      <c r="C237" s="45" t="s">
        <v>2</v>
      </c>
      <c r="D237" s="42" t="s">
        <v>3</v>
      </c>
      <c r="E237" s="43"/>
      <c r="F237" s="44"/>
      <c r="G237" s="45" t="s">
        <v>16</v>
      </c>
      <c r="H237" s="42" t="s">
        <v>7</v>
      </c>
      <c r="I237" s="43"/>
      <c r="J237" s="43"/>
      <c r="K237" s="43"/>
      <c r="L237" s="43"/>
      <c r="M237" s="44"/>
      <c r="N237" s="42" t="s">
        <v>19</v>
      </c>
      <c r="O237" s="43"/>
      <c r="P237" s="43"/>
      <c r="Q237" s="44"/>
    </row>
    <row r="238" spans="1:17" ht="30" x14ac:dyDescent="0.25">
      <c r="A238" s="46"/>
      <c r="B238" s="46"/>
      <c r="C238" s="46"/>
      <c r="D238" s="7" t="s">
        <v>4</v>
      </c>
      <c r="E238" s="8" t="s">
        <v>5</v>
      </c>
      <c r="F238" s="8" t="s">
        <v>6</v>
      </c>
      <c r="G238" s="46"/>
      <c r="H238" s="6" t="s">
        <v>8</v>
      </c>
      <c r="I238" s="6" t="s">
        <v>9</v>
      </c>
      <c r="J238" s="6" t="s">
        <v>10</v>
      </c>
      <c r="K238" s="33" t="s">
        <v>107</v>
      </c>
      <c r="L238" s="33" t="s">
        <v>108</v>
      </c>
      <c r="M238" s="6" t="s">
        <v>11</v>
      </c>
      <c r="N238" s="6" t="s">
        <v>12</v>
      </c>
      <c r="O238" s="6" t="s">
        <v>13</v>
      </c>
      <c r="P238" s="6" t="s">
        <v>14</v>
      </c>
      <c r="Q238" s="6" t="s">
        <v>15</v>
      </c>
    </row>
    <row r="239" spans="1:17" ht="15.75" x14ac:dyDescent="0.25">
      <c r="A239" s="1"/>
      <c r="B239" s="47" t="s">
        <v>147</v>
      </c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9"/>
    </row>
    <row r="240" spans="1:17" ht="31.5" x14ac:dyDescent="0.25">
      <c r="A240" s="3" t="s">
        <v>83</v>
      </c>
      <c r="B240" s="4" t="s">
        <v>23</v>
      </c>
      <c r="C240" s="21">
        <v>250</v>
      </c>
      <c r="D240" s="21">
        <f>32.3*250/200</f>
        <v>40.374999999999993</v>
      </c>
      <c r="E240" s="21">
        <f>21.6*250/200</f>
        <v>27</v>
      </c>
      <c r="F240" s="21">
        <f>30*250/200</f>
        <v>37.5</v>
      </c>
      <c r="G240" s="21">
        <f>443.3*250/200</f>
        <v>554.125</v>
      </c>
      <c r="H240" s="21">
        <f>292*250/200</f>
        <v>365</v>
      </c>
      <c r="I240" s="21">
        <f>45*250/200</f>
        <v>56.25</v>
      </c>
      <c r="J240" s="21">
        <f>389*250/200</f>
        <v>486.25</v>
      </c>
      <c r="K240" s="21">
        <f>38*250/200</f>
        <v>47.5</v>
      </c>
      <c r="L240" s="21">
        <f>52.1*250/200</f>
        <v>65.125</v>
      </c>
      <c r="M240" s="21">
        <f>1*250/200</f>
        <v>1.25</v>
      </c>
      <c r="N240" s="21">
        <f>0.11*250/200</f>
        <v>0.13750000000000001</v>
      </c>
      <c r="O240" s="21">
        <f>0.46*250/200</f>
        <v>0.57499999999999996</v>
      </c>
      <c r="P240" s="21">
        <f>1.1*250/200</f>
        <v>1.375</v>
      </c>
      <c r="Q240" s="21">
        <v>0</v>
      </c>
    </row>
    <row r="241" spans="1:17" ht="30" x14ac:dyDescent="0.25">
      <c r="A241" s="17" t="s">
        <v>24</v>
      </c>
      <c r="B241" s="6" t="s">
        <v>50</v>
      </c>
      <c r="C241" s="15">
        <v>30</v>
      </c>
      <c r="D241" s="15">
        <v>2.2799999999999998</v>
      </c>
      <c r="E241" s="15">
        <v>0.24</v>
      </c>
      <c r="F241" s="15">
        <v>14.76</v>
      </c>
      <c r="G241" s="15">
        <v>57.9</v>
      </c>
      <c r="H241" s="15">
        <v>5.7</v>
      </c>
      <c r="I241" s="15">
        <v>3.9</v>
      </c>
      <c r="J241" s="15">
        <v>19.5</v>
      </c>
      <c r="K241" s="15">
        <v>0</v>
      </c>
      <c r="L241" s="15">
        <v>0</v>
      </c>
      <c r="M241" s="15">
        <v>0.36</v>
      </c>
      <c r="N241" s="15">
        <v>3.3000000000000002E-2</v>
      </c>
      <c r="O241" s="15">
        <v>8.9999999999999993E-3</v>
      </c>
      <c r="P241" s="15">
        <v>0.27</v>
      </c>
      <c r="Q241" s="15">
        <v>0</v>
      </c>
    </row>
    <row r="242" spans="1:17" ht="31.5" x14ac:dyDescent="0.25">
      <c r="A242" s="17" t="s">
        <v>86</v>
      </c>
      <c r="B242" s="6" t="s">
        <v>87</v>
      </c>
      <c r="C242" s="15">
        <v>200</v>
      </c>
      <c r="D242" s="15">
        <v>0.2</v>
      </c>
      <c r="E242" s="15">
        <v>0</v>
      </c>
      <c r="F242" s="15">
        <v>0.1</v>
      </c>
      <c r="G242" s="15">
        <v>1</v>
      </c>
      <c r="H242" s="15">
        <v>4</v>
      </c>
      <c r="I242" s="15">
        <v>4</v>
      </c>
      <c r="J242" s="15">
        <v>7</v>
      </c>
      <c r="K242" s="15">
        <v>0</v>
      </c>
      <c r="L242" s="15">
        <v>0</v>
      </c>
      <c r="M242" s="15">
        <v>1</v>
      </c>
      <c r="N242" s="15">
        <v>0</v>
      </c>
      <c r="O242" s="15">
        <v>0.01</v>
      </c>
      <c r="P242" s="15">
        <v>0.06</v>
      </c>
      <c r="Q242" s="15">
        <v>0</v>
      </c>
    </row>
    <row r="243" spans="1:17" ht="31.5" x14ac:dyDescent="0.25">
      <c r="A243" s="17" t="s">
        <v>75</v>
      </c>
      <c r="B243" s="5" t="s">
        <v>51</v>
      </c>
      <c r="C243" s="15">
        <v>10</v>
      </c>
      <c r="D243" s="15">
        <v>0.1</v>
      </c>
      <c r="E243" s="15">
        <v>8.3000000000000007</v>
      </c>
      <c r="F243" s="15">
        <v>0.1</v>
      </c>
      <c r="G243" s="15">
        <v>74.900000000000006</v>
      </c>
      <c r="H243" s="15">
        <v>2</v>
      </c>
      <c r="I243" s="15">
        <v>0</v>
      </c>
      <c r="J243" s="15">
        <v>2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0.01</v>
      </c>
      <c r="Q243" s="15">
        <v>0</v>
      </c>
    </row>
    <row r="244" spans="1:17" ht="15.75" x14ac:dyDescent="0.25">
      <c r="A244" s="2"/>
      <c r="B244" s="11" t="s">
        <v>18</v>
      </c>
      <c r="C244" s="9">
        <f t="shared" ref="C244:Q244" si="21">SUM(C240:C243)</f>
        <v>490</v>
      </c>
      <c r="D244" s="9">
        <f t="shared" si="21"/>
        <v>42.954999999999998</v>
      </c>
      <c r="E244" s="9">
        <f t="shared" si="21"/>
        <v>35.54</v>
      </c>
      <c r="F244" s="9">
        <f t="shared" si="21"/>
        <v>52.46</v>
      </c>
      <c r="G244" s="9">
        <f t="shared" si="21"/>
        <v>687.92499999999995</v>
      </c>
      <c r="H244" s="9">
        <f t="shared" si="21"/>
        <v>376.7</v>
      </c>
      <c r="I244" s="9">
        <f t="shared" si="21"/>
        <v>64.150000000000006</v>
      </c>
      <c r="J244" s="9">
        <f t="shared" si="21"/>
        <v>514.75</v>
      </c>
      <c r="K244" s="9">
        <f t="shared" si="21"/>
        <v>47.5</v>
      </c>
      <c r="L244" s="9">
        <f t="shared" si="21"/>
        <v>65.125</v>
      </c>
      <c r="M244" s="9">
        <f t="shared" si="21"/>
        <v>2.61</v>
      </c>
      <c r="N244" s="9">
        <f t="shared" si="21"/>
        <v>0.17050000000000001</v>
      </c>
      <c r="O244" s="9">
        <f t="shared" si="21"/>
        <v>0.59399999999999997</v>
      </c>
      <c r="P244" s="9">
        <f t="shared" si="21"/>
        <v>1.7150000000000001</v>
      </c>
      <c r="Q244" s="9">
        <f t="shared" si="21"/>
        <v>0</v>
      </c>
    </row>
    <row r="256" spans="1:17" x14ac:dyDescent="0.25">
      <c r="N256" s="50" t="s">
        <v>135</v>
      </c>
      <c r="O256" s="50"/>
      <c r="P256" s="50"/>
      <c r="Q256" s="50"/>
    </row>
    <row r="257" spans="1:17" x14ac:dyDescent="0.25">
      <c r="N257" s="50" t="s">
        <v>136</v>
      </c>
      <c r="O257" s="50"/>
      <c r="P257" s="50"/>
      <c r="Q257" s="50"/>
    </row>
    <row r="258" spans="1:17" x14ac:dyDescent="0.25">
      <c r="B258" s="14" t="s">
        <v>148</v>
      </c>
      <c r="N258" s="50" t="s">
        <v>139</v>
      </c>
      <c r="O258" s="50"/>
      <c r="P258" s="50"/>
      <c r="Q258" s="50"/>
    </row>
    <row r="259" spans="1:17" x14ac:dyDescent="0.25">
      <c r="N259" s="51" t="s">
        <v>137</v>
      </c>
      <c r="O259" s="51"/>
      <c r="P259" s="51"/>
      <c r="Q259" s="51"/>
    </row>
    <row r="261" spans="1:17" x14ac:dyDescent="0.25">
      <c r="A261" s="45" t="s">
        <v>0</v>
      </c>
      <c r="B261" s="45" t="s">
        <v>1</v>
      </c>
      <c r="C261" s="45" t="s">
        <v>2</v>
      </c>
      <c r="D261" s="42" t="s">
        <v>3</v>
      </c>
      <c r="E261" s="43"/>
      <c r="F261" s="44"/>
      <c r="G261" s="45" t="s">
        <v>16</v>
      </c>
      <c r="H261" s="42" t="s">
        <v>7</v>
      </c>
      <c r="I261" s="43"/>
      <c r="J261" s="43"/>
      <c r="K261" s="43"/>
      <c r="L261" s="43"/>
      <c r="M261" s="44"/>
      <c r="N261" s="42" t="s">
        <v>19</v>
      </c>
      <c r="O261" s="43"/>
      <c r="P261" s="43"/>
      <c r="Q261" s="44"/>
    </row>
    <row r="262" spans="1:17" ht="30" x14ac:dyDescent="0.25">
      <c r="A262" s="46"/>
      <c r="B262" s="46"/>
      <c r="C262" s="46"/>
      <c r="D262" s="7" t="s">
        <v>4</v>
      </c>
      <c r="E262" s="8" t="s">
        <v>5</v>
      </c>
      <c r="F262" s="8" t="s">
        <v>6</v>
      </c>
      <c r="G262" s="46"/>
      <c r="H262" s="6" t="s">
        <v>8</v>
      </c>
      <c r="I262" s="6" t="s">
        <v>9</v>
      </c>
      <c r="J262" s="6" t="s">
        <v>10</v>
      </c>
      <c r="K262" s="33" t="s">
        <v>107</v>
      </c>
      <c r="L262" s="33" t="s">
        <v>108</v>
      </c>
      <c r="M262" s="6" t="s">
        <v>11</v>
      </c>
      <c r="N262" s="6" t="s">
        <v>12</v>
      </c>
      <c r="O262" s="6" t="s">
        <v>13</v>
      </c>
      <c r="P262" s="6" t="s">
        <v>14</v>
      </c>
      <c r="Q262" s="6" t="s">
        <v>15</v>
      </c>
    </row>
    <row r="263" spans="1:17" ht="15.75" x14ac:dyDescent="0.25">
      <c r="A263" s="1"/>
      <c r="B263" s="47" t="s">
        <v>142</v>
      </c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9"/>
    </row>
    <row r="264" spans="1:17" ht="31.5" x14ac:dyDescent="0.25">
      <c r="A264" s="3" t="s">
        <v>128</v>
      </c>
      <c r="B264" s="4" t="s">
        <v>129</v>
      </c>
      <c r="C264" s="21">
        <v>60</v>
      </c>
      <c r="D264" s="21">
        <v>0.8</v>
      </c>
      <c r="E264" s="21">
        <v>2.7</v>
      </c>
      <c r="F264" s="21">
        <v>4.5999999999999996</v>
      </c>
      <c r="G264" s="21">
        <v>45.7</v>
      </c>
      <c r="H264" s="21">
        <v>20</v>
      </c>
      <c r="I264" s="21">
        <v>21</v>
      </c>
      <c r="J264" s="21">
        <v>21</v>
      </c>
      <c r="K264" s="21">
        <v>1</v>
      </c>
      <c r="L264" s="21">
        <v>0.01</v>
      </c>
      <c r="M264" s="21">
        <v>0.02</v>
      </c>
      <c r="N264" s="21">
        <v>0.1</v>
      </c>
      <c r="O264" s="21">
        <v>2</v>
      </c>
      <c r="P264" s="38"/>
      <c r="Q264" s="39"/>
    </row>
    <row r="265" spans="1:17" ht="31.5" x14ac:dyDescent="0.25">
      <c r="A265" s="3" t="s">
        <v>80</v>
      </c>
      <c r="B265" s="4" t="s">
        <v>62</v>
      </c>
      <c r="C265" s="21">
        <v>150</v>
      </c>
      <c r="D265" s="21">
        <v>3.6</v>
      </c>
      <c r="E265" s="21">
        <v>5.2</v>
      </c>
      <c r="F265" s="21">
        <v>38.1</v>
      </c>
      <c r="G265" s="21">
        <v>213.5</v>
      </c>
      <c r="H265" s="21">
        <v>14</v>
      </c>
      <c r="I265" s="21">
        <v>10</v>
      </c>
      <c r="J265" s="21">
        <v>47</v>
      </c>
      <c r="K265" s="21">
        <v>20</v>
      </c>
      <c r="L265" s="21">
        <v>7.3</v>
      </c>
      <c r="M265" s="21">
        <v>1</v>
      </c>
      <c r="N265" s="21">
        <v>0</v>
      </c>
      <c r="O265" s="21">
        <v>0</v>
      </c>
      <c r="P265" s="21">
        <v>0.7</v>
      </c>
      <c r="Q265" s="21">
        <v>0</v>
      </c>
    </row>
    <row r="266" spans="1:17" ht="31.5" x14ac:dyDescent="0.25">
      <c r="A266" s="17" t="s">
        <v>112</v>
      </c>
      <c r="B266" s="6" t="s">
        <v>113</v>
      </c>
      <c r="C266" s="9">
        <v>80</v>
      </c>
      <c r="D266" s="9">
        <v>10.5</v>
      </c>
      <c r="E266" s="9">
        <v>6</v>
      </c>
      <c r="F266" s="9">
        <v>2.5</v>
      </c>
      <c r="G266" s="9">
        <v>106.3</v>
      </c>
      <c r="H266" s="9">
        <v>32</v>
      </c>
      <c r="I266" s="9">
        <v>37</v>
      </c>
      <c r="J266" s="9">
        <v>28</v>
      </c>
      <c r="K266" s="9">
        <v>106.8</v>
      </c>
      <c r="L266" s="9">
        <v>9.6</v>
      </c>
      <c r="M266" s="9">
        <v>0</v>
      </c>
      <c r="N266" s="9">
        <v>0.06</v>
      </c>
      <c r="O266" s="9">
        <v>0.11</v>
      </c>
      <c r="P266" s="9">
        <v>0.6</v>
      </c>
      <c r="Q266" s="9">
        <v>1</v>
      </c>
    </row>
    <row r="267" spans="1:17" ht="30" x14ac:dyDescent="0.25">
      <c r="A267" s="17" t="s">
        <v>24</v>
      </c>
      <c r="B267" s="6" t="s">
        <v>50</v>
      </c>
      <c r="C267" s="15">
        <v>30</v>
      </c>
      <c r="D267" s="15">
        <v>2.2799999999999998</v>
      </c>
      <c r="E267" s="15">
        <v>0.24</v>
      </c>
      <c r="F267" s="15">
        <v>14.76</v>
      </c>
      <c r="G267" s="15">
        <v>57.9</v>
      </c>
      <c r="H267" s="15">
        <v>5.7</v>
      </c>
      <c r="I267" s="15">
        <v>3.9</v>
      </c>
      <c r="J267" s="15">
        <v>19.5</v>
      </c>
      <c r="K267" s="15">
        <v>0</v>
      </c>
      <c r="L267" s="15">
        <v>0</v>
      </c>
      <c r="M267" s="15">
        <v>0.36</v>
      </c>
      <c r="N267" s="15">
        <v>3.3000000000000002E-2</v>
      </c>
      <c r="O267" s="15">
        <v>8.9999999999999993E-3</v>
      </c>
      <c r="P267" s="15">
        <v>0.27</v>
      </c>
      <c r="Q267" s="15">
        <v>0</v>
      </c>
    </row>
    <row r="268" spans="1:17" ht="31.5" x14ac:dyDescent="0.25">
      <c r="A268" s="3" t="s">
        <v>88</v>
      </c>
      <c r="B268" s="5" t="s">
        <v>53</v>
      </c>
      <c r="C268" s="9">
        <v>200</v>
      </c>
      <c r="D268" s="9">
        <v>0.2</v>
      </c>
      <c r="E268" s="9">
        <v>0</v>
      </c>
      <c r="F268" s="9">
        <v>6.4</v>
      </c>
      <c r="G268" s="9">
        <v>26.4</v>
      </c>
      <c r="H268" s="9">
        <v>4</v>
      </c>
      <c r="I268" s="9">
        <v>4</v>
      </c>
      <c r="J268" s="9">
        <v>7</v>
      </c>
      <c r="K268" s="9">
        <v>0</v>
      </c>
      <c r="L268" s="9">
        <v>0</v>
      </c>
      <c r="M268" s="9">
        <v>1</v>
      </c>
      <c r="N268" s="9">
        <v>0</v>
      </c>
      <c r="O268" s="9">
        <v>0</v>
      </c>
      <c r="P268" s="9">
        <v>0.1</v>
      </c>
      <c r="Q268" s="9">
        <v>0</v>
      </c>
    </row>
    <row r="269" spans="1:17" ht="15.75" x14ac:dyDescent="0.25">
      <c r="A269" s="3" t="s">
        <v>24</v>
      </c>
      <c r="B269" s="5" t="s">
        <v>105</v>
      </c>
      <c r="C269" s="9">
        <v>75</v>
      </c>
      <c r="D269" s="9">
        <v>0.6</v>
      </c>
      <c r="E269" s="9">
        <v>0</v>
      </c>
      <c r="F269" s="9">
        <v>5.9</v>
      </c>
      <c r="G269" s="9">
        <v>25.7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1.8</v>
      </c>
      <c r="Q269" s="9">
        <v>20</v>
      </c>
    </row>
    <row r="270" spans="1:17" ht="15.75" x14ac:dyDescent="0.25">
      <c r="A270" s="2"/>
      <c r="B270" s="11" t="s">
        <v>18</v>
      </c>
      <c r="C270" s="9">
        <f>SUM(C265:C269)</f>
        <v>535</v>
      </c>
      <c r="D270" s="9">
        <f>SUM(D265:D269)</f>
        <v>17.18</v>
      </c>
      <c r="E270" s="9">
        <f t="shared" ref="E270:Q270" si="22">SUM(E265:E269)</f>
        <v>11.44</v>
      </c>
      <c r="F270" s="9">
        <f t="shared" si="22"/>
        <v>67.66</v>
      </c>
      <c r="G270" s="9">
        <f t="shared" si="22"/>
        <v>429.79999999999995</v>
      </c>
      <c r="H270" s="9">
        <f t="shared" si="22"/>
        <v>55.7</v>
      </c>
      <c r="I270" s="9">
        <f t="shared" si="22"/>
        <v>54.9</v>
      </c>
      <c r="J270" s="9">
        <f t="shared" si="22"/>
        <v>101.5</v>
      </c>
      <c r="K270" s="9">
        <f t="shared" si="22"/>
        <v>126.8</v>
      </c>
      <c r="L270" s="9">
        <f t="shared" si="22"/>
        <v>16.899999999999999</v>
      </c>
      <c r="M270" s="9">
        <f t="shared" si="22"/>
        <v>2.36</v>
      </c>
      <c r="N270" s="9">
        <f t="shared" si="22"/>
        <v>9.2999999999999999E-2</v>
      </c>
      <c r="O270" s="9">
        <f t="shared" si="22"/>
        <v>0.11899999999999999</v>
      </c>
      <c r="P270" s="9">
        <f t="shared" si="22"/>
        <v>3.4699999999999998</v>
      </c>
      <c r="Q270" s="9">
        <f t="shared" si="22"/>
        <v>21</v>
      </c>
    </row>
    <row r="273" spans="1:17" x14ac:dyDescent="0.25">
      <c r="A273" s="45" t="s">
        <v>0</v>
      </c>
      <c r="B273" s="45" t="s">
        <v>1</v>
      </c>
      <c r="C273" s="45" t="s">
        <v>2</v>
      </c>
      <c r="D273" s="42" t="s">
        <v>3</v>
      </c>
      <c r="E273" s="43"/>
      <c r="F273" s="44"/>
      <c r="G273" s="45" t="s">
        <v>16</v>
      </c>
      <c r="H273" s="42" t="s">
        <v>7</v>
      </c>
      <c r="I273" s="43"/>
      <c r="J273" s="43"/>
      <c r="K273" s="43"/>
      <c r="L273" s="43"/>
      <c r="M273" s="44"/>
      <c r="N273" s="42" t="s">
        <v>19</v>
      </c>
      <c r="O273" s="43"/>
      <c r="P273" s="43"/>
      <c r="Q273" s="44"/>
    </row>
    <row r="274" spans="1:17" ht="30" x14ac:dyDescent="0.25">
      <c r="A274" s="46"/>
      <c r="B274" s="46"/>
      <c r="C274" s="46"/>
      <c r="D274" s="7" t="s">
        <v>4</v>
      </c>
      <c r="E274" s="8" t="s">
        <v>5</v>
      </c>
      <c r="F274" s="8" t="s">
        <v>6</v>
      </c>
      <c r="G274" s="46"/>
      <c r="H274" s="6" t="s">
        <v>8</v>
      </c>
      <c r="I274" s="6" t="s">
        <v>9</v>
      </c>
      <c r="J274" s="6" t="s">
        <v>10</v>
      </c>
      <c r="K274" s="33" t="s">
        <v>107</v>
      </c>
      <c r="L274" s="33" t="s">
        <v>108</v>
      </c>
      <c r="M274" s="6" t="s">
        <v>11</v>
      </c>
      <c r="N274" s="6" t="s">
        <v>12</v>
      </c>
      <c r="O274" s="6" t="s">
        <v>13</v>
      </c>
      <c r="P274" s="6" t="s">
        <v>14</v>
      </c>
      <c r="Q274" s="6" t="s">
        <v>15</v>
      </c>
    </row>
    <row r="275" spans="1:17" ht="15.75" x14ac:dyDescent="0.25">
      <c r="A275" s="1"/>
      <c r="B275" s="47" t="s">
        <v>141</v>
      </c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9"/>
    </row>
    <row r="276" spans="1:17" ht="31.5" x14ac:dyDescent="0.25">
      <c r="A276" s="3" t="s">
        <v>80</v>
      </c>
      <c r="B276" s="4" t="s">
        <v>62</v>
      </c>
      <c r="C276" s="21">
        <v>150</v>
      </c>
      <c r="D276" s="21">
        <v>3.6</v>
      </c>
      <c r="E276" s="21">
        <v>5.2</v>
      </c>
      <c r="F276" s="21">
        <v>38.1</v>
      </c>
      <c r="G276" s="21">
        <v>213.5</v>
      </c>
      <c r="H276" s="21">
        <v>14</v>
      </c>
      <c r="I276" s="21">
        <v>10</v>
      </c>
      <c r="J276" s="21">
        <v>47</v>
      </c>
      <c r="K276" s="21">
        <v>20</v>
      </c>
      <c r="L276" s="21">
        <v>7.3</v>
      </c>
      <c r="M276" s="21">
        <v>1</v>
      </c>
      <c r="N276" s="21">
        <v>0</v>
      </c>
      <c r="O276" s="21">
        <v>0</v>
      </c>
      <c r="P276" s="21">
        <v>0.7</v>
      </c>
      <c r="Q276" s="21">
        <v>0</v>
      </c>
    </row>
    <row r="277" spans="1:17" ht="31.5" x14ac:dyDescent="0.25">
      <c r="A277" s="17" t="s">
        <v>112</v>
      </c>
      <c r="B277" s="6" t="s">
        <v>113</v>
      </c>
      <c r="C277" s="9">
        <v>80</v>
      </c>
      <c r="D277" s="9">
        <v>10.5</v>
      </c>
      <c r="E277" s="9">
        <v>6</v>
      </c>
      <c r="F277" s="9">
        <v>2.5</v>
      </c>
      <c r="G277" s="9">
        <v>106.3</v>
      </c>
      <c r="H277" s="9">
        <v>32</v>
      </c>
      <c r="I277" s="9">
        <v>37</v>
      </c>
      <c r="J277" s="9">
        <v>28</v>
      </c>
      <c r="K277" s="9">
        <v>106.8</v>
      </c>
      <c r="L277" s="9">
        <v>9.6</v>
      </c>
      <c r="M277" s="9">
        <v>0</v>
      </c>
      <c r="N277" s="9">
        <v>0.06</v>
      </c>
      <c r="O277" s="9">
        <v>0.11</v>
      </c>
      <c r="P277" s="9">
        <v>0.6</v>
      </c>
      <c r="Q277" s="9">
        <v>1</v>
      </c>
    </row>
    <row r="278" spans="1:17" ht="30" x14ac:dyDescent="0.25">
      <c r="A278" s="17" t="s">
        <v>24</v>
      </c>
      <c r="B278" s="6" t="s">
        <v>50</v>
      </c>
      <c r="C278" s="15">
        <v>30</v>
      </c>
      <c r="D278" s="15">
        <v>2.2799999999999998</v>
      </c>
      <c r="E278" s="15">
        <v>0.24</v>
      </c>
      <c r="F278" s="15">
        <v>14.76</v>
      </c>
      <c r="G278" s="15">
        <v>57.9</v>
      </c>
      <c r="H278" s="15">
        <v>5.7</v>
      </c>
      <c r="I278" s="15">
        <v>3.9</v>
      </c>
      <c r="J278" s="15">
        <v>19.5</v>
      </c>
      <c r="K278" s="15">
        <v>0</v>
      </c>
      <c r="L278" s="15">
        <v>0</v>
      </c>
      <c r="M278" s="15">
        <v>0.36</v>
      </c>
      <c r="N278" s="15">
        <v>3.3000000000000002E-2</v>
      </c>
      <c r="O278" s="15">
        <v>8.9999999999999993E-3</v>
      </c>
      <c r="P278" s="15">
        <v>0.27</v>
      </c>
      <c r="Q278" s="15">
        <v>0</v>
      </c>
    </row>
    <row r="279" spans="1:17" ht="31.5" x14ac:dyDescent="0.25">
      <c r="A279" s="3" t="s">
        <v>88</v>
      </c>
      <c r="B279" s="5" t="s">
        <v>53</v>
      </c>
      <c r="C279" s="9">
        <v>200</v>
      </c>
      <c r="D279" s="9">
        <v>0.2</v>
      </c>
      <c r="E279" s="9">
        <v>0</v>
      </c>
      <c r="F279" s="9">
        <v>6.4</v>
      </c>
      <c r="G279" s="9">
        <v>26.4</v>
      </c>
      <c r="H279" s="9">
        <v>4</v>
      </c>
      <c r="I279" s="9">
        <v>4</v>
      </c>
      <c r="J279" s="9">
        <v>7</v>
      </c>
      <c r="K279" s="9">
        <v>0</v>
      </c>
      <c r="L279" s="9">
        <v>0</v>
      </c>
      <c r="M279" s="9">
        <v>1</v>
      </c>
      <c r="N279" s="9">
        <v>0</v>
      </c>
      <c r="O279" s="9">
        <v>0</v>
      </c>
      <c r="P279" s="9">
        <v>0.1</v>
      </c>
      <c r="Q279" s="9">
        <v>0</v>
      </c>
    </row>
    <row r="280" spans="1:17" ht="15.75" x14ac:dyDescent="0.25">
      <c r="A280" s="2"/>
      <c r="B280" s="11" t="s">
        <v>18</v>
      </c>
      <c r="C280" s="9">
        <f t="shared" ref="C280:Q280" si="23">SUM(C276:C279)</f>
        <v>460</v>
      </c>
      <c r="D280" s="9">
        <f t="shared" si="23"/>
        <v>16.579999999999998</v>
      </c>
      <c r="E280" s="9">
        <f t="shared" si="23"/>
        <v>11.44</v>
      </c>
      <c r="F280" s="9">
        <f t="shared" si="23"/>
        <v>61.76</v>
      </c>
      <c r="G280" s="9">
        <f t="shared" si="23"/>
        <v>404.09999999999997</v>
      </c>
      <c r="H280" s="9">
        <f t="shared" si="23"/>
        <v>55.7</v>
      </c>
      <c r="I280" s="9">
        <f t="shared" si="23"/>
        <v>54.9</v>
      </c>
      <c r="J280" s="9">
        <f t="shared" si="23"/>
        <v>101.5</v>
      </c>
      <c r="K280" s="9">
        <f t="shared" si="23"/>
        <v>126.8</v>
      </c>
      <c r="L280" s="9">
        <f t="shared" si="23"/>
        <v>16.899999999999999</v>
      </c>
      <c r="M280" s="9">
        <f t="shared" si="23"/>
        <v>2.36</v>
      </c>
      <c r="N280" s="9">
        <f t="shared" si="23"/>
        <v>9.2999999999999999E-2</v>
      </c>
      <c r="O280" s="9">
        <f t="shared" si="23"/>
        <v>0.11899999999999999</v>
      </c>
      <c r="P280" s="9">
        <f t="shared" si="23"/>
        <v>1.67</v>
      </c>
      <c r="Q280" s="9">
        <f t="shared" si="23"/>
        <v>1</v>
      </c>
    </row>
    <row r="287" spans="1:17" x14ac:dyDescent="0.25">
      <c r="N287" s="50" t="s">
        <v>135</v>
      </c>
      <c r="O287" s="50"/>
      <c r="P287" s="50"/>
      <c r="Q287" s="50"/>
    </row>
    <row r="288" spans="1:17" x14ac:dyDescent="0.25">
      <c r="N288" s="50" t="s">
        <v>136</v>
      </c>
      <c r="O288" s="50"/>
      <c r="P288" s="50"/>
      <c r="Q288" s="50"/>
    </row>
    <row r="289" spans="1:17" x14ac:dyDescent="0.25">
      <c r="B289" s="14" t="s">
        <v>149</v>
      </c>
      <c r="N289" s="50" t="s">
        <v>139</v>
      </c>
      <c r="O289" s="50"/>
      <c r="P289" s="50"/>
      <c r="Q289" s="50"/>
    </row>
    <row r="290" spans="1:17" x14ac:dyDescent="0.25">
      <c r="N290" s="51" t="s">
        <v>137</v>
      </c>
      <c r="O290" s="51"/>
      <c r="P290" s="51"/>
      <c r="Q290" s="51"/>
    </row>
    <row r="292" spans="1:17" x14ac:dyDescent="0.25">
      <c r="A292" s="45" t="s">
        <v>0</v>
      </c>
      <c r="B292" s="45" t="s">
        <v>1</v>
      </c>
      <c r="C292" s="45" t="s">
        <v>2</v>
      </c>
      <c r="D292" s="42" t="s">
        <v>3</v>
      </c>
      <c r="E292" s="43"/>
      <c r="F292" s="44"/>
      <c r="G292" s="45" t="s">
        <v>16</v>
      </c>
      <c r="H292" s="42" t="s">
        <v>7</v>
      </c>
      <c r="I292" s="43"/>
      <c r="J292" s="43"/>
      <c r="K292" s="43"/>
      <c r="L292" s="43"/>
      <c r="M292" s="44"/>
      <c r="N292" s="42" t="s">
        <v>19</v>
      </c>
      <c r="O292" s="43"/>
      <c r="P292" s="43"/>
      <c r="Q292" s="44"/>
    </row>
    <row r="293" spans="1:17" ht="30" x14ac:dyDescent="0.25">
      <c r="A293" s="46"/>
      <c r="B293" s="46"/>
      <c r="C293" s="46"/>
      <c r="D293" s="7" t="s">
        <v>4</v>
      </c>
      <c r="E293" s="8" t="s">
        <v>5</v>
      </c>
      <c r="F293" s="8" t="s">
        <v>6</v>
      </c>
      <c r="G293" s="46"/>
      <c r="H293" s="6" t="s">
        <v>8</v>
      </c>
      <c r="I293" s="6" t="s">
        <v>9</v>
      </c>
      <c r="J293" s="6" t="s">
        <v>10</v>
      </c>
      <c r="K293" s="33" t="s">
        <v>107</v>
      </c>
      <c r="L293" s="33" t="s">
        <v>108</v>
      </c>
      <c r="M293" s="6" t="s">
        <v>11</v>
      </c>
      <c r="N293" s="6" t="s">
        <v>12</v>
      </c>
      <c r="O293" s="6" t="s">
        <v>13</v>
      </c>
      <c r="P293" s="6" t="s">
        <v>14</v>
      </c>
      <c r="Q293" s="6" t="s">
        <v>15</v>
      </c>
    </row>
    <row r="294" spans="1:17" ht="15.75" x14ac:dyDescent="0.25">
      <c r="A294" s="1"/>
      <c r="B294" s="47" t="s">
        <v>150</v>
      </c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9"/>
    </row>
    <row r="295" spans="1:17" ht="31.5" x14ac:dyDescent="0.25">
      <c r="A295" s="3" t="s">
        <v>76</v>
      </c>
      <c r="B295" s="4" t="s">
        <v>64</v>
      </c>
      <c r="C295" s="21">
        <v>200</v>
      </c>
      <c r="D295" s="21">
        <v>8.4</v>
      </c>
      <c r="E295" s="21">
        <v>11.5</v>
      </c>
      <c r="F295" s="21">
        <v>38.799999999999997</v>
      </c>
      <c r="G295" s="21">
        <v>292.10000000000002</v>
      </c>
      <c r="H295" s="21">
        <v>129</v>
      </c>
      <c r="I295" s="21">
        <v>58</v>
      </c>
      <c r="J295" s="21">
        <v>185</v>
      </c>
      <c r="K295" s="21">
        <v>51.6</v>
      </c>
      <c r="L295" s="21">
        <v>3.1</v>
      </c>
      <c r="M295" s="21">
        <v>3</v>
      </c>
      <c r="N295" s="21">
        <v>0.24</v>
      </c>
      <c r="O295" s="21">
        <v>0.13</v>
      </c>
      <c r="P295" s="21">
        <v>0.7</v>
      </c>
      <c r="Q295" s="21">
        <v>0</v>
      </c>
    </row>
    <row r="296" spans="1:17" ht="31.5" x14ac:dyDescent="0.25">
      <c r="A296" s="3" t="s">
        <v>74</v>
      </c>
      <c r="B296" s="4" t="s">
        <v>55</v>
      </c>
      <c r="C296" s="21">
        <v>30</v>
      </c>
      <c r="D296" s="21">
        <v>7.02</v>
      </c>
      <c r="E296" s="21">
        <v>9</v>
      </c>
      <c r="F296" s="21">
        <v>0</v>
      </c>
      <c r="G296" s="21">
        <v>109.1</v>
      </c>
      <c r="H296" s="21">
        <v>300</v>
      </c>
      <c r="I296" s="21">
        <v>14</v>
      </c>
      <c r="J296" s="21">
        <v>163</v>
      </c>
      <c r="K296" s="21">
        <v>0</v>
      </c>
      <c r="L296" s="21">
        <v>0</v>
      </c>
      <c r="M296" s="21">
        <v>0</v>
      </c>
      <c r="N296" s="21">
        <v>0.01</v>
      </c>
      <c r="O296" s="21">
        <v>0.09</v>
      </c>
      <c r="P296" s="21">
        <v>0.09</v>
      </c>
      <c r="Q296" s="21">
        <v>0</v>
      </c>
    </row>
    <row r="297" spans="1:17" ht="31.5" x14ac:dyDescent="0.25">
      <c r="A297" s="32" t="s">
        <v>93</v>
      </c>
      <c r="B297" s="5" t="s">
        <v>21</v>
      </c>
      <c r="C297" s="15">
        <v>200</v>
      </c>
      <c r="D297" s="15">
        <v>4.5999999999999996</v>
      </c>
      <c r="E297" s="15">
        <v>4.3</v>
      </c>
      <c r="F297" s="15">
        <v>12.4</v>
      </c>
      <c r="G297" s="15">
        <v>106.7</v>
      </c>
      <c r="H297" s="15">
        <v>144</v>
      </c>
      <c r="I297" s="15">
        <v>34</v>
      </c>
      <c r="J297" s="15">
        <v>131</v>
      </c>
      <c r="K297" s="15">
        <v>11.7</v>
      </c>
      <c r="L297" s="15">
        <v>2.2999999999999998</v>
      </c>
      <c r="M297" s="15">
        <v>1</v>
      </c>
      <c r="N297" s="15">
        <v>0</v>
      </c>
      <c r="O297" s="15">
        <v>0.2</v>
      </c>
      <c r="P297" s="15">
        <v>0.2</v>
      </c>
      <c r="Q297" s="15">
        <v>1</v>
      </c>
    </row>
    <row r="298" spans="1:17" ht="30" x14ac:dyDescent="0.25">
      <c r="A298" s="17" t="s">
        <v>24</v>
      </c>
      <c r="B298" s="6" t="s">
        <v>50</v>
      </c>
      <c r="C298" s="15">
        <v>30</v>
      </c>
      <c r="D298" s="15">
        <v>2.2799999999999998</v>
      </c>
      <c r="E298" s="15">
        <v>0.24</v>
      </c>
      <c r="F298" s="15">
        <v>14.76</v>
      </c>
      <c r="G298" s="15">
        <v>57.9</v>
      </c>
      <c r="H298" s="15">
        <v>5.7</v>
      </c>
      <c r="I298" s="15">
        <v>3.9</v>
      </c>
      <c r="J298" s="15">
        <v>19.5</v>
      </c>
      <c r="K298" s="15">
        <v>0</v>
      </c>
      <c r="L298" s="15">
        <v>0</v>
      </c>
      <c r="M298" s="15">
        <v>0.36</v>
      </c>
      <c r="N298" s="15">
        <v>3.3000000000000002E-2</v>
      </c>
      <c r="O298" s="15">
        <v>8.9999999999999993E-3</v>
      </c>
      <c r="P298" s="15">
        <v>0.27</v>
      </c>
      <c r="Q298" s="15">
        <v>0</v>
      </c>
    </row>
    <row r="299" spans="1:17" ht="15.75" x14ac:dyDescent="0.25">
      <c r="A299" s="3" t="s">
        <v>24</v>
      </c>
      <c r="B299" s="5" t="s">
        <v>106</v>
      </c>
      <c r="C299" s="9">
        <v>200</v>
      </c>
      <c r="D299" s="9">
        <v>2.8</v>
      </c>
      <c r="E299" s="9">
        <v>0</v>
      </c>
      <c r="F299" s="9">
        <v>40.799999999999997</v>
      </c>
      <c r="G299" s="9">
        <v>174.4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0.15</v>
      </c>
      <c r="Q299" s="9">
        <v>28.5</v>
      </c>
    </row>
    <row r="300" spans="1:17" ht="15.75" x14ac:dyDescent="0.25">
      <c r="A300" s="2"/>
      <c r="B300" s="11" t="s">
        <v>18</v>
      </c>
      <c r="C300" s="9">
        <f>SUM(C295:C299)</f>
        <v>660</v>
      </c>
      <c r="D300" s="9">
        <f>SUM(D295:D299)</f>
        <v>25.1</v>
      </c>
      <c r="E300" s="9">
        <f t="shared" ref="E300:Q300" si="24">SUM(E295:E299)</f>
        <v>25.04</v>
      </c>
      <c r="F300" s="9">
        <f t="shared" si="24"/>
        <v>106.75999999999999</v>
      </c>
      <c r="G300" s="9">
        <f t="shared" si="24"/>
        <v>740.2</v>
      </c>
      <c r="H300" s="9">
        <f t="shared" si="24"/>
        <v>578.70000000000005</v>
      </c>
      <c r="I300" s="9">
        <f t="shared" si="24"/>
        <v>109.9</v>
      </c>
      <c r="J300" s="9">
        <f t="shared" si="24"/>
        <v>498.5</v>
      </c>
      <c r="K300" s="9">
        <f t="shared" si="24"/>
        <v>63.3</v>
      </c>
      <c r="L300" s="9">
        <f t="shared" si="24"/>
        <v>5.4</v>
      </c>
      <c r="M300" s="9">
        <f t="shared" si="24"/>
        <v>4.3600000000000003</v>
      </c>
      <c r="N300" s="9">
        <f t="shared" si="24"/>
        <v>0.28300000000000003</v>
      </c>
      <c r="O300" s="9">
        <f t="shared" si="24"/>
        <v>0.42900000000000005</v>
      </c>
      <c r="P300" s="9">
        <f t="shared" si="24"/>
        <v>1.41</v>
      </c>
      <c r="Q300" s="9">
        <f t="shared" si="24"/>
        <v>29.5</v>
      </c>
    </row>
    <row r="303" spans="1:17" x14ac:dyDescent="0.25">
      <c r="A303" s="45" t="s">
        <v>0</v>
      </c>
      <c r="B303" s="45" t="s">
        <v>1</v>
      </c>
      <c r="C303" s="45" t="s">
        <v>2</v>
      </c>
      <c r="D303" s="42" t="s">
        <v>3</v>
      </c>
      <c r="E303" s="43"/>
      <c r="F303" s="44"/>
      <c r="G303" s="45" t="s">
        <v>16</v>
      </c>
      <c r="H303" s="42" t="s">
        <v>7</v>
      </c>
      <c r="I303" s="43"/>
      <c r="J303" s="43"/>
      <c r="K303" s="43"/>
      <c r="L303" s="43"/>
      <c r="M303" s="44"/>
      <c r="N303" s="42" t="s">
        <v>19</v>
      </c>
      <c r="O303" s="43"/>
      <c r="P303" s="43"/>
      <c r="Q303" s="44"/>
    </row>
    <row r="304" spans="1:17" ht="30" x14ac:dyDescent="0.25">
      <c r="A304" s="46"/>
      <c r="B304" s="46"/>
      <c r="C304" s="46"/>
      <c r="D304" s="7" t="s">
        <v>4</v>
      </c>
      <c r="E304" s="8" t="s">
        <v>5</v>
      </c>
      <c r="F304" s="8" t="s">
        <v>6</v>
      </c>
      <c r="G304" s="46"/>
      <c r="H304" s="6" t="s">
        <v>8</v>
      </c>
      <c r="I304" s="6" t="s">
        <v>9</v>
      </c>
      <c r="J304" s="6" t="s">
        <v>10</v>
      </c>
      <c r="K304" s="33" t="s">
        <v>107</v>
      </c>
      <c r="L304" s="33" t="s">
        <v>108</v>
      </c>
      <c r="M304" s="6" t="s">
        <v>11</v>
      </c>
      <c r="N304" s="6" t="s">
        <v>12</v>
      </c>
      <c r="O304" s="6" t="s">
        <v>13</v>
      </c>
      <c r="P304" s="6" t="s">
        <v>14</v>
      </c>
      <c r="Q304" s="6" t="s">
        <v>15</v>
      </c>
    </row>
    <row r="305" spans="1:17" ht="15.75" x14ac:dyDescent="0.25">
      <c r="A305" s="1"/>
      <c r="B305" s="47" t="s">
        <v>147</v>
      </c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9"/>
    </row>
    <row r="306" spans="1:17" ht="31.5" x14ac:dyDescent="0.25">
      <c r="A306" s="3" t="s">
        <v>76</v>
      </c>
      <c r="B306" s="4" t="s">
        <v>64</v>
      </c>
      <c r="C306" s="21">
        <v>215</v>
      </c>
      <c r="D306" s="21">
        <f>8.4*215/200</f>
        <v>9.0299999999999994</v>
      </c>
      <c r="E306" s="21">
        <f>11.5*215/200</f>
        <v>12.362500000000001</v>
      </c>
      <c r="F306" s="21">
        <f>38.8*215/200</f>
        <v>41.71</v>
      </c>
      <c r="G306" s="21">
        <f>292.1*215/200</f>
        <v>314.00750000000005</v>
      </c>
      <c r="H306" s="21">
        <f>129*215/200</f>
        <v>138.67500000000001</v>
      </c>
      <c r="I306" s="21">
        <f>58*215/200</f>
        <v>62.35</v>
      </c>
      <c r="J306" s="21">
        <f>185*215/200</f>
        <v>198.875</v>
      </c>
      <c r="K306" s="21">
        <f>51.6*215/200</f>
        <v>55.47</v>
      </c>
      <c r="L306" s="21">
        <f>3.1*215/200</f>
        <v>3.3325</v>
      </c>
      <c r="M306" s="21">
        <f>3*215/200</f>
        <v>3.2250000000000001</v>
      </c>
      <c r="N306" s="21">
        <f>0.24*215/200</f>
        <v>0.25800000000000001</v>
      </c>
      <c r="O306" s="21">
        <f>0.13*215/200</f>
        <v>0.13974999999999999</v>
      </c>
      <c r="P306" s="21">
        <f>0.7*215/200</f>
        <v>0.75249999999999995</v>
      </c>
      <c r="Q306" s="21">
        <v>0</v>
      </c>
    </row>
    <row r="307" spans="1:17" ht="31.5" x14ac:dyDescent="0.25">
      <c r="A307" s="3" t="s">
        <v>74</v>
      </c>
      <c r="B307" s="4" t="s">
        <v>55</v>
      </c>
      <c r="C307" s="21">
        <v>30</v>
      </c>
      <c r="D307" s="21">
        <v>7.02</v>
      </c>
      <c r="E307" s="21">
        <v>9</v>
      </c>
      <c r="F307" s="21">
        <v>0</v>
      </c>
      <c r="G307" s="21">
        <v>109.1</v>
      </c>
      <c r="H307" s="21">
        <v>300</v>
      </c>
      <c r="I307" s="21">
        <v>14</v>
      </c>
      <c r="J307" s="21">
        <v>163</v>
      </c>
      <c r="K307" s="21">
        <v>0</v>
      </c>
      <c r="L307" s="21">
        <v>0</v>
      </c>
      <c r="M307" s="21">
        <v>0</v>
      </c>
      <c r="N307" s="21">
        <v>0.01</v>
      </c>
      <c r="O307" s="21">
        <v>0.09</v>
      </c>
      <c r="P307" s="21">
        <v>0.09</v>
      </c>
      <c r="Q307" s="21">
        <v>0</v>
      </c>
    </row>
    <row r="308" spans="1:17" ht="31.5" x14ac:dyDescent="0.25">
      <c r="A308" s="32" t="s">
        <v>93</v>
      </c>
      <c r="B308" s="5" t="s">
        <v>21</v>
      </c>
      <c r="C308" s="15">
        <v>200</v>
      </c>
      <c r="D308" s="15">
        <v>4.5999999999999996</v>
      </c>
      <c r="E308" s="15">
        <v>4.3</v>
      </c>
      <c r="F308" s="15">
        <v>12.4</v>
      </c>
      <c r="G308" s="15">
        <v>106.7</v>
      </c>
      <c r="H308" s="15">
        <v>144</v>
      </c>
      <c r="I308" s="15">
        <v>34</v>
      </c>
      <c r="J308" s="15">
        <v>131</v>
      </c>
      <c r="K308" s="15">
        <v>11.7</v>
      </c>
      <c r="L308" s="15">
        <v>2.2999999999999998</v>
      </c>
      <c r="M308" s="15">
        <v>1</v>
      </c>
      <c r="N308" s="15">
        <v>0</v>
      </c>
      <c r="O308" s="15">
        <v>0.2</v>
      </c>
      <c r="P308" s="15">
        <v>0.2</v>
      </c>
      <c r="Q308" s="15">
        <v>1</v>
      </c>
    </row>
    <row r="309" spans="1:17" ht="30" x14ac:dyDescent="0.25">
      <c r="A309" s="17" t="s">
        <v>24</v>
      </c>
      <c r="B309" s="6" t="s">
        <v>50</v>
      </c>
      <c r="C309" s="15">
        <v>30</v>
      </c>
      <c r="D309" s="15">
        <v>2.2799999999999998</v>
      </c>
      <c r="E309" s="15">
        <v>0.24</v>
      </c>
      <c r="F309" s="15">
        <v>14.76</v>
      </c>
      <c r="G309" s="15">
        <v>57.9</v>
      </c>
      <c r="H309" s="15">
        <v>5.7</v>
      </c>
      <c r="I309" s="15">
        <v>3.9</v>
      </c>
      <c r="J309" s="15">
        <v>19.5</v>
      </c>
      <c r="K309" s="15">
        <v>0</v>
      </c>
      <c r="L309" s="15">
        <v>0</v>
      </c>
      <c r="M309" s="15">
        <v>0.36</v>
      </c>
      <c r="N309" s="15">
        <v>3.3000000000000002E-2</v>
      </c>
      <c r="O309" s="15">
        <v>8.9999999999999993E-3</v>
      </c>
      <c r="P309" s="15">
        <v>0.27</v>
      </c>
      <c r="Q309" s="15">
        <v>0</v>
      </c>
    </row>
    <row r="310" spans="1:17" ht="15.75" x14ac:dyDescent="0.25">
      <c r="A310" s="3"/>
      <c r="B310" s="5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5.75" x14ac:dyDescent="0.25">
      <c r="A311" s="2"/>
      <c r="B311" s="11" t="s">
        <v>18</v>
      </c>
      <c r="C311" s="9">
        <f>SUM(C306:C310)</f>
        <v>475</v>
      </c>
      <c r="D311" s="9">
        <f>SUM(D306:D310)</f>
        <v>22.93</v>
      </c>
      <c r="E311" s="9">
        <f t="shared" ref="E311:Q311" si="25">SUM(E306:E310)</f>
        <v>25.9025</v>
      </c>
      <c r="F311" s="9">
        <f t="shared" si="25"/>
        <v>68.87</v>
      </c>
      <c r="G311" s="9">
        <f t="shared" si="25"/>
        <v>587.7075000000001</v>
      </c>
      <c r="H311" s="9">
        <f t="shared" si="25"/>
        <v>588.375</v>
      </c>
      <c r="I311" s="9">
        <f t="shared" si="25"/>
        <v>114.25</v>
      </c>
      <c r="J311" s="9">
        <f t="shared" si="25"/>
        <v>512.375</v>
      </c>
      <c r="K311" s="9">
        <f t="shared" si="25"/>
        <v>67.17</v>
      </c>
      <c r="L311" s="9">
        <f t="shared" si="25"/>
        <v>5.6325000000000003</v>
      </c>
      <c r="M311" s="9">
        <f t="shared" si="25"/>
        <v>4.585</v>
      </c>
      <c r="N311" s="9">
        <f t="shared" si="25"/>
        <v>0.30100000000000005</v>
      </c>
      <c r="O311" s="9">
        <f t="shared" si="25"/>
        <v>0.43874999999999997</v>
      </c>
      <c r="P311" s="9">
        <f t="shared" si="25"/>
        <v>1.3125</v>
      </c>
      <c r="Q311" s="9">
        <f t="shared" si="25"/>
        <v>1</v>
      </c>
    </row>
    <row r="318" spans="1:17" x14ac:dyDescent="0.25">
      <c r="N318" s="50" t="s">
        <v>135</v>
      </c>
      <c r="O318" s="50"/>
      <c r="P318" s="50"/>
      <c r="Q318" s="50"/>
    </row>
    <row r="319" spans="1:17" x14ac:dyDescent="0.25">
      <c r="N319" s="50" t="s">
        <v>136</v>
      </c>
      <c r="O319" s="50"/>
      <c r="P319" s="50"/>
      <c r="Q319" s="50"/>
    </row>
    <row r="320" spans="1:17" x14ac:dyDescent="0.25">
      <c r="B320" s="14" t="s">
        <v>151</v>
      </c>
      <c r="N320" s="50" t="s">
        <v>139</v>
      </c>
      <c r="O320" s="50"/>
      <c r="P320" s="50"/>
      <c r="Q320" s="50"/>
    </row>
    <row r="321" spans="1:17" x14ac:dyDescent="0.25">
      <c r="N321" s="51" t="s">
        <v>137</v>
      </c>
      <c r="O321" s="51"/>
      <c r="P321" s="51"/>
      <c r="Q321" s="51"/>
    </row>
    <row r="322" spans="1:17" x14ac:dyDescent="0.25">
      <c r="N322" s="41"/>
      <c r="O322" s="41"/>
      <c r="P322" s="41"/>
      <c r="Q322" s="41"/>
    </row>
    <row r="323" spans="1:17" x14ac:dyDescent="0.25">
      <c r="N323" s="41"/>
      <c r="O323" s="41"/>
      <c r="P323" s="41"/>
      <c r="Q323" s="41"/>
    </row>
    <row r="324" spans="1:17" ht="15" customHeight="1" x14ac:dyDescent="0.25">
      <c r="A324" s="45" t="s">
        <v>0</v>
      </c>
      <c r="B324" s="45" t="s">
        <v>1</v>
      </c>
      <c r="C324" s="45" t="s">
        <v>2</v>
      </c>
      <c r="D324" s="42" t="s">
        <v>3</v>
      </c>
      <c r="E324" s="43"/>
      <c r="F324" s="44"/>
      <c r="G324" s="45" t="s">
        <v>16</v>
      </c>
      <c r="H324" s="42" t="s">
        <v>7</v>
      </c>
      <c r="I324" s="43"/>
      <c r="J324" s="43"/>
      <c r="K324" s="43"/>
      <c r="L324" s="43"/>
      <c r="M324" s="44"/>
      <c r="N324" s="42" t="s">
        <v>19</v>
      </c>
      <c r="O324" s="43"/>
      <c r="P324" s="43"/>
      <c r="Q324" s="44"/>
    </row>
    <row r="325" spans="1:17" ht="30" x14ac:dyDescent="0.25">
      <c r="A325" s="46"/>
      <c r="B325" s="46"/>
      <c r="C325" s="46"/>
      <c r="D325" s="7" t="s">
        <v>4</v>
      </c>
      <c r="E325" s="8" t="s">
        <v>5</v>
      </c>
      <c r="F325" s="8" t="s">
        <v>6</v>
      </c>
      <c r="G325" s="46"/>
      <c r="H325" s="6" t="s">
        <v>8</v>
      </c>
      <c r="I325" s="6" t="s">
        <v>9</v>
      </c>
      <c r="J325" s="6" t="s">
        <v>10</v>
      </c>
      <c r="K325" s="33" t="s">
        <v>107</v>
      </c>
      <c r="L325" s="33" t="s">
        <v>108</v>
      </c>
      <c r="M325" s="6" t="s">
        <v>11</v>
      </c>
      <c r="N325" s="6" t="s">
        <v>12</v>
      </c>
      <c r="O325" s="6" t="s">
        <v>13</v>
      </c>
      <c r="P325" s="6" t="s">
        <v>14</v>
      </c>
      <c r="Q325" s="6" t="s">
        <v>15</v>
      </c>
    </row>
    <row r="326" spans="1:17" ht="15.75" x14ac:dyDescent="0.25">
      <c r="A326" s="1"/>
      <c r="B326" s="47" t="s">
        <v>142</v>
      </c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9"/>
    </row>
    <row r="327" spans="1:17" ht="31.5" x14ac:dyDescent="0.25">
      <c r="A327" s="3" t="s">
        <v>73</v>
      </c>
      <c r="B327" s="4" t="s">
        <v>72</v>
      </c>
      <c r="C327" s="9">
        <v>250</v>
      </c>
      <c r="D327" s="9">
        <f>27.3*250/200</f>
        <v>34.125</v>
      </c>
      <c r="E327" s="9">
        <f>7.9*250/200</f>
        <v>9.875</v>
      </c>
      <c r="F327" s="9">
        <f>34.7*250/200</f>
        <v>43.375</v>
      </c>
      <c r="G327" s="9">
        <f>318.8*250/200</f>
        <v>398.5</v>
      </c>
      <c r="H327" s="9">
        <f>29*250/200</f>
        <v>36.25</v>
      </c>
      <c r="I327" s="9">
        <f>93*250/200</f>
        <v>116.25</v>
      </c>
      <c r="J327" s="9">
        <f>212*250/200</f>
        <v>265</v>
      </c>
      <c r="K327" s="9">
        <f>23.1*250/200</f>
        <v>28.875</v>
      </c>
      <c r="L327" s="9">
        <f>27.5*250/200</f>
        <v>34.375</v>
      </c>
      <c r="M327" s="9">
        <f>2*250/200</f>
        <v>2.5</v>
      </c>
      <c r="N327" s="9">
        <f>0.08*250/200</f>
        <v>0.1</v>
      </c>
      <c r="O327" s="9">
        <f>0.08*250/200</f>
        <v>0.1</v>
      </c>
      <c r="P327" s="9">
        <f>7.3*250/200</f>
        <v>9.125</v>
      </c>
      <c r="Q327" s="9">
        <f>2*250/200</f>
        <v>2.5</v>
      </c>
    </row>
    <row r="328" spans="1:17" ht="30" x14ac:dyDescent="0.25">
      <c r="A328" s="17" t="s">
        <v>24</v>
      </c>
      <c r="B328" s="6" t="s">
        <v>50</v>
      </c>
      <c r="C328" s="15">
        <v>30</v>
      </c>
      <c r="D328" s="15">
        <v>2.2799999999999998</v>
      </c>
      <c r="E328" s="15">
        <v>0.24</v>
      </c>
      <c r="F328" s="15">
        <v>14.76</v>
      </c>
      <c r="G328" s="15">
        <v>57.9</v>
      </c>
      <c r="H328" s="15">
        <v>5.7</v>
      </c>
      <c r="I328" s="15">
        <v>3.9</v>
      </c>
      <c r="J328" s="15">
        <v>19.5</v>
      </c>
      <c r="K328" s="15">
        <v>0</v>
      </c>
      <c r="L328" s="15">
        <v>0</v>
      </c>
      <c r="M328" s="15">
        <v>0.36</v>
      </c>
      <c r="N328" s="15">
        <v>3.3000000000000002E-2</v>
      </c>
      <c r="O328" s="15">
        <v>8.9999999999999993E-3</v>
      </c>
      <c r="P328" s="15">
        <v>0.27</v>
      </c>
      <c r="Q328" s="15">
        <v>0</v>
      </c>
    </row>
    <row r="329" spans="1:17" ht="15.75" x14ac:dyDescent="0.25">
      <c r="A329" s="3" t="s">
        <v>24</v>
      </c>
      <c r="B329" s="5" t="s">
        <v>67</v>
      </c>
      <c r="C329" s="9">
        <v>30</v>
      </c>
      <c r="D329" s="9">
        <v>0.1</v>
      </c>
      <c r="E329" s="9">
        <v>0</v>
      </c>
      <c r="F329" s="9">
        <v>19.5</v>
      </c>
      <c r="G329" s="9">
        <v>71.8</v>
      </c>
      <c r="H329" s="9">
        <v>4</v>
      </c>
      <c r="I329" s="9">
        <v>2</v>
      </c>
      <c r="J329" s="9">
        <v>3</v>
      </c>
      <c r="K329" s="9">
        <v>0</v>
      </c>
      <c r="L329" s="9">
        <v>0</v>
      </c>
      <c r="M329" s="9">
        <v>0.4</v>
      </c>
      <c r="N329" s="9">
        <v>0</v>
      </c>
      <c r="O329" s="9">
        <v>0.01</v>
      </c>
      <c r="P329" s="9">
        <v>0</v>
      </c>
      <c r="Q329" s="9">
        <v>0.2</v>
      </c>
    </row>
    <row r="330" spans="1:17" ht="15.75" x14ac:dyDescent="0.25">
      <c r="A330" s="32" t="s">
        <v>24</v>
      </c>
      <c r="B330" s="5" t="s">
        <v>104</v>
      </c>
      <c r="C330" s="15">
        <v>75</v>
      </c>
      <c r="D330" s="15">
        <v>0.3</v>
      </c>
      <c r="E330" s="15">
        <v>0.3</v>
      </c>
      <c r="F330" s="15">
        <v>7.35</v>
      </c>
      <c r="G330" s="15">
        <v>35.25</v>
      </c>
      <c r="H330" s="15">
        <v>12</v>
      </c>
      <c r="I330" s="15">
        <v>6.75</v>
      </c>
      <c r="J330" s="15">
        <v>8.25</v>
      </c>
      <c r="K330" s="15">
        <v>0</v>
      </c>
      <c r="L330" s="15">
        <v>0</v>
      </c>
      <c r="M330" s="15">
        <v>1.65</v>
      </c>
      <c r="N330" s="15">
        <v>2.2499999999999999E-2</v>
      </c>
      <c r="O330" s="15">
        <v>1.4999999999999999E-2</v>
      </c>
      <c r="P330" s="15">
        <v>0.22500000000000001</v>
      </c>
      <c r="Q330" s="15">
        <v>7.5</v>
      </c>
    </row>
    <row r="331" spans="1:17" ht="45" x14ac:dyDescent="0.25">
      <c r="A331" s="3" t="s">
        <v>89</v>
      </c>
      <c r="B331" s="5" t="s">
        <v>90</v>
      </c>
      <c r="C331" s="9">
        <v>200</v>
      </c>
      <c r="D331" s="9">
        <v>0.2</v>
      </c>
      <c r="E331" s="9">
        <v>0</v>
      </c>
      <c r="F331" s="9">
        <v>6.6</v>
      </c>
      <c r="G331" s="9">
        <v>27.6</v>
      </c>
      <c r="H331" s="9">
        <v>6</v>
      </c>
      <c r="I331" s="9">
        <v>5</v>
      </c>
      <c r="J331" s="9">
        <v>8</v>
      </c>
      <c r="K331" s="9">
        <v>0</v>
      </c>
      <c r="L331" s="9">
        <v>0</v>
      </c>
      <c r="M331" s="9">
        <v>1</v>
      </c>
      <c r="N331" s="9">
        <v>0</v>
      </c>
      <c r="O331" s="9">
        <v>0.01</v>
      </c>
      <c r="P331" s="9">
        <v>7.0000000000000007E-2</v>
      </c>
      <c r="Q331" s="9">
        <v>1</v>
      </c>
    </row>
    <row r="332" spans="1:17" ht="15.75" x14ac:dyDescent="0.25">
      <c r="A332" s="2"/>
      <c r="B332" s="11" t="s">
        <v>18</v>
      </c>
      <c r="C332" s="9">
        <f t="shared" ref="C332:Q332" si="26">SUM(C327:C331)</f>
        <v>585</v>
      </c>
      <c r="D332" s="9">
        <f t="shared" si="26"/>
        <v>37.005000000000003</v>
      </c>
      <c r="E332" s="9">
        <f t="shared" si="26"/>
        <v>10.415000000000001</v>
      </c>
      <c r="F332" s="9">
        <f t="shared" si="26"/>
        <v>91.58499999999998</v>
      </c>
      <c r="G332" s="9">
        <f t="shared" si="26"/>
        <v>591.04999999999995</v>
      </c>
      <c r="H332" s="9">
        <f t="shared" si="26"/>
        <v>63.95</v>
      </c>
      <c r="I332" s="9">
        <f t="shared" si="26"/>
        <v>133.9</v>
      </c>
      <c r="J332" s="9">
        <f t="shared" si="26"/>
        <v>303.75</v>
      </c>
      <c r="K332" s="9">
        <f t="shared" si="26"/>
        <v>28.875</v>
      </c>
      <c r="L332" s="9">
        <f t="shared" si="26"/>
        <v>34.375</v>
      </c>
      <c r="M332" s="9">
        <f t="shared" si="26"/>
        <v>5.91</v>
      </c>
      <c r="N332" s="9">
        <f t="shared" si="26"/>
        <v>0.1555</v>
      </c>
      <c r="O332" s="9">
        <f t="shared" si="26"/>
        <v>0.14400000000000002</v>
      </c>
      <c r="P332" s="9">
        <f t="shared" si="26"/>
        <v>9.69</v>
      </c>
      <c r="Q332" s="9">
        <f t="shared" si="26"/>
        <v>11.2</v>
      </c>
    </row>
    <row r="335" spans="1:17" x14ac:dyDescent="0.25">
      <c r="A335" s="45" t="s">
        <v>0</v>
      </c>
      <c r="B335" s="45" t="s">
        <v>1</v>
      </c>
      <c r="C335" s="45" t="s">
        <v>2</v>
      </c>
      <c r="D335" s="42" t="s">
        <v>3</v>
      </c>
      <c r="E335" s="43"/>
      <c r="F335" s="44"/>
      <c r="G335" s="45" t="s">
        <v>16</v>
      </c>
      <c r="H335" s="42" t="s">
        <v>7</v>
      </c>
      <c r="I335" s="43"/>
      <c r="J335" s="43"/>
      <c r="K335" s="43"/>
      <c r="L335" s="43"/>
      <c r="M335" s="44"/>
      <c r="N335" s="42" t="s">
        <v>19</v>
      </c>
      <c r="O335" s="43"/>
      <c r="P335" s="43"/>
      <c r="Q335" s="44"/>
    </row>
    <row r="336" spans="1:17" ht="30" x14ac:dyDescent="0.25">
      <c r="A336" s="46"/>
      <c r="B336" s="46"/>
      <c r="C336" s="46"/>
      <c r="D336" s="7" t="s">
        <v>4</v>
      </c>
      <c r="E336" s="8" t="s">
        <v>5</v>
      </c>
      <c r="F336" s="8" t="s">
        <v>6</v>
      </c>
      <c r="G336" s="46"/>
      <c r="H336" s="6" t="s">
        <v>8</v>
      </c>
      <c r="I336" s="6" t="s">
        <v>9</v>
      </c>
      <c r="J336" s="6" t="s">
        <v>10</v>
      </c>
      <c r="K336" s="33" t="s">
        <v>107</v>
      </c>
      <c r="L336" s="33" t="s">
        <v>108</v>
      </c>
      <c r="M336" s="6" t="s">
        <v>11</v>
      </c>
      <c r="N336" s="6" t="s">
        <v>12</v>
      </c>
      <c r="O336" s="6" t="s">
        <v>13</v>
      </c>
      <c r="P336" s="6" t="s">
        <v>14</v>
      </c>
      <c r="Q336" s="6" t="s">
        <v>15</v>
      </c>
    </row>
    <row r="337" spans="1:17" ht="15.75" x14ac:dyDescent="0.25">
      <c r="A337" s="1"/>
      <c r="B337" s="47" t="s">
        <v>141</v>
      </c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9"/>
    </row>
    <row r="338" spans="1:17" ht="31.5" x14ac:dyDescent="0.25">
      <c r="A338" s="3" t="s">
        <v>73</v>
      </c>
      <c r="B338" s="4" t="s">
        <v>72</v>
      </c>
      <c r="C338" s="9">
        <v>250</v>
      </c>
      <c r="D338" s="9">
        <f>27.3*250/200</f>
        <v>34.125</v>
      </c>
      <c r="E338" s="9">
        <f>7.9*250/200</f>
        <v>9.875</v>
      </c>
      <c r="F338" s="9">
        <f>34.7*250/200</f>
        <v>43.375</v>
      </c>
      <c r="G338" s="9">
        <f>318.8*250/200</f>
        <v>398.5</v>
      </c>
      <c r="H338" s="9">
        <f>29*250/200</f>
        <v>36.25</v>
      </c>
      <c r="I338" s="9">
        <f>93*250/200</f>
        <v>116.25</v>
      </c>
      <c r="J338" s="9">
        <f>212*250/200</f>
        <v>265</v>
      </c>
      <c r="K338" s="9">
        <f>23.1*250/200</f>
        <v>28.875</v>
      </c>
      <c r="L338" s="9">
        <f>27.5*250/200</f>
        <v>34.375</v>
      </c>
      <c r="M338" s="9">
        <f>2*250/200</f>
        <v>2.5</v>
      </c>
      <c r="N338" s="9">
        <f>0.08*250/200</f>
        <v>0.1</v>
      </c>
      <c r="O338" s="9">
        <f>0.08*250/200</f>
        <v>0.1</v>
      </c>
      <c r="P338" s="9">
        <f>7.3*250/200</f>
        <v>9.125</v>
      </c>
      <c r="Q338" s="9">
        <f>2*250/200</f>
        <v>2.5</v>
      </c>
    </row>
    <row r="339" spans="1:17" ht="30" x14ac:dyDescent="0.25">
      <c r="A339" s="17" t="s">
        <v>24</v>
      </c>
      <c r="B339" s="6" t="s">
        <v>50</v>
      </c>
      <c r="C339" s="15">
        <v>30</v>
      </c>
      <c r="D339" s="15">
        <v>2.2799999999999998</v>
      </c>
      <c r="E339" s="15">
        <v>0.24</v>
      </c>
      <c r="F339" s="15">
        <v>14.76</v>
      </c>
      <c r="G339" s="15">
        <v>57.9</v>
      </c>
      <c r="H339" s="15">
        <v>5.7</v>
      </c>
      <c r="I339" s="15">
        <v>3.9</v>
      </c>
      <c r="J339" s="15">
        <v>19.5</v>
      </c>
      <c r="K339" s="15">
        <v>0</v>
      </c>
      <c r="L339" s="15">
        <v>0</v>
      </c>
      <c r="M339" s="15">
        <v>0.36</v>
      </c>
      <c r="N339" s="15">
        <v>3.3000000000000002E-2</v>
      </c>
      <c r="O339" s="15">
        <v>8.9999999999999993E-3</v>
      </c>
      <c r="P339" s="15">
        <v>0.27</v>
      </c>
      <c r="Q339" s="15">
        <v>0</v>
      </c>
    </row>
    <row r="340" spans="1:17" ht="45" x14ac:dyDescent="0.25">
      <c r="A340" s="3" t="s">
        <v>89</v>
      </c>
      <c r="B340" s="5" t="s">
        <v>90</v>
      </c>
      <c r="C340" s="9">
        <v>200</v>
      </c>
      <c r="D340" s="9">
        <v>0.2</v>
      </c>
      <c r="E340" s="9">
        <v>0</v>
      </c>
      <c r="F340" s="9">
        <v>6.6</v>
      </c>
      <c r="G340" s="9">
        <v>27.6</v>
      </c>
      <c r="H340" s="9">
        <v>6</v>
      </c>
      <c r="I340" s="9">
        <v>5</v>
      </c>
      <c r="J340" s="9">
        <v>8</v>
      </c>
      <c r="K340" s="9">
        <v>0</v>
      </c>
      <c r="L340" s="9">
        <v>0</v>
      </c>
      <c r="M340" s="9">
        <v>1</v>
      </c>
      <c r="N340" s="9">
        <v>0</v>
      </c>
      <c r="O340" s="9">
        <v>0.01</v>
      </c>
      <c r="P340" s="9">
        <v>7.0000000000000007E-2</v>
      </c>
      <c r="Q340" s="9">
        <v>1</v>
      </c>
    </row>
    <row r="341" spans="1:17" ht="15.75" x14ac:dyDescent="0.25">
      <c r="A341" s="2"/>
      <c r="B341" s="11" t="s">
        <v>18</v>
      </c>
      <c r="C341" s="9">
        <f t="shared" ref="C341:Q341" si="27">SUM(C338:C340)</f>
        <v>480</v>
      </c>
      <c r="D341" s="9">
        <f t="shared" si="27"/>
        <v>36.605000000000004</v>
      </c>
      <c r="E341" s="9">
        <f t="shared" si="27"/>
        <v>10.115</v>
      </c>
      <c r="F341" s="9">
        <f t="shared" si="27"/>
        <v>64.734999999999999</v>
      </c>
      <c r="G341" s="9">
        <f t="shared" si="27"/>
        <v>484</v>
      </c>
      <c r="H341" s="9">
        <f t="shared" si="27"/>
        <v>47.95</v>
      </c>
      <c r="I341" s="9">
        <f t="shared" si="27"/>
        <v>125.15</v>
      </c>
      <c r="J341" s="9">
        <f t="shared" si="27"/>
        <v>292.5</v>
      </c>
      <c r="K341" s="9">
        <f t="shared" si="27"/>
        <v>28.875</v>
      </c>
      <c r="L341" s="9">
        <f t="shared" si="27"/>
        <v>34.375</v>
      </c>
      <c r="M341" s="9">
        <f t="shared" si="27"/>
        <v>3.86</v>
      </c>
      <c r="N341" s="9">
        <f t="shared" si="27"/>
        <v>0.13300000000000001</v>
      </c>
      <c r="O341" s="9">
        <f t="shared" si="27"/>
        <v>0.11899999999999999</v>
      </c>
      <c r="P341" s="9">
        <f t="shared" si="27"/>
        <v>9.4649999999999999</v>
      </c>
      <c r="Q341" s="9">
        <f t="shared" si="27"/>
        <v>3.5</v>
      </c>
    </row>
    <row r="350" spans="1:17" x14ac:dyDescent="0.25">
      <c r="N350" s="50" t="s">
        <v>135</v>
      </c>
      <c r="O350" s="50"/>
      <c r="P350" s="50"/>
      <c r="Q350" s="50"/>
    </row>
    <row r="351" spans="1:17" x14ac:dyDescent="0.25">
      <c r="N351" s="50" t="s">
        <v>136</v>
      </c>
      <c r="O351" s="50"/>
      <c r="P351" s="50"/>
      <c r="Q351" s="50"/>
    </row>
    <row r="352" spans="1:17" x14ac:dyDescent="0.25">
      <c r="B352" s="14" t="s">
        <v>152</v>
      </c>
      <c r="N352" s="50" t="s">
        <v>139</v>
      </c>
      <c r="O352" s="50"/>
      <c r="P352" s="50"/>
      <c r="Q352" s="50"/>
    </row>
    <row r="353" spans="1:17" x14ac:dyDescent="0.25">
      <c r="N353" s="51" t="s">
        <v>137</v>
      </c>
      <c r="O353" s="51"/>
      <c r="P353" s="51"/>
      <c r="Q353" s="51"/>
    </row>
    <row r="354" spans="1:17" x14ac:dyDescent="0.25">
      <c r="N354" s="41"/>
      <c r="O354" s="41"/>
      <c r="P354" s="41"/>
      <c r="Q354" s="41"/>
    </row>
    <row r="357" spans="1:17" x14ac:dyDescent="0.25">
      <c r="A357" s="45" t="s">
        <v>0</v>
      </c>
      <c r="B357" s="45" t="s">
        <v>1</v>
      </c>
      <c r="C357" s="45" t="s">
        <v>2</v>
      </c>
      <c r="D357" s="42" t="s">
        <v>3</v>
      </c>
      <c r="E357" s="43"/>
      <c r="F357" s="44"/>
      <c r="G357" s="45" t="s">
        <v>16</v>
      </c>
      <c r="H357" s="42" t="s">
        <v>7</v>
      </c>
      <c r="I357" s="43"/>
      <c r="J357" s="43"/>
      <c r="K357" s="43"/>
      <c r="L357" s="43"/>
      <c r="M357" s="44"/>
      <c r="N357" s="42" t="s">
        <v>19</v>
      </c>
      <c r="O357" s="43"/>
      <c r="P357" s="43"/>
      <c r="Q357" s="44"/>
    </row>
    <row r="358" spans="1:17" ht="30" x14ac:dyDescent="0.25">
      <c r="A358" s="46"/>
      <c r="B358" s="46"/>
      <c r="C358" s="46"/>
      <c r="D358" s="7" t="s">
        <v>4</v>
      </c>
      <c r="E358" s="8" t="s">
        <v>5</v>
      </c>
      <c r="F358" s="8" t="s">
        <v>6</v>
      </c>
      <c r="G358" s="46"/>
      <c r="H358" s="6" t="s">
        <v>8</v>
      </c>
      <c r="I358" s="6" t="s">
        <v>9</v>
      </c>
      <c r="J358" s="6" t="s">
        <v>10</v>
      </c>
      <c r="K358" s="33" t="s">
        <v>107</v>
      </c>
      <c r="L358" s="33" t="s">
        <v>108</v>
      </c>
      <c r="M358" s="6" t="s">
        <v>11</v>
      </c>
      <c r="N358" s="6" t="s">
        <v>12</v>
      </c>
      <c r="O358" s="6" t="s">
        <v>13</v>
      </c>
      <c r="P358" s="6" t="s">
        <v>14</v>
      </c>
      <c r="Q358" s="6" t="s">
        <v>15</v>
      </c>
    </row>
    <row r="359" spans="1:17" ht="15.75" x14ac:dyDescent="0.25">
      <c r="A359" s="1"/>
      <c r="B359" s="47" t="s">
        <v>133</v>
      </c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9"/>
    </row>
    <row r="360" spans="1:17" ht="31.5" x14ac:dyDescent="0.25">
      <c r="A360" s="3" t="s">
        <v>82</v>
      </c>
      <c r="B360" s="4" t="s">
        <v>69</v>
      </c>
      <c r="C360" s="21">
        <v>250</v>
      </c>
      <c r="D360" s="21">
        <f t="shared" ref="D360" si="28">14.72*250/200</f>
        <v>18.399999999999999</v>
      </c>
      <c r="E360" s="21">
        <f t="shared" ref="E360" si="29">21.69*250/200</f>
        <v>27.112500000000001</v>
      </c>
      <c r="F360" s="21">
        <f t="shared" ref="F360" si="30">6.82*250/200</f>
        <v>8.5250000000000004</v>
      </c>
      <c r="G360" s="21">
        <f t="shared" ref="G360" si="31">281.2*250/200</f>
        <v>351.5</v>
      </c>
      <c r="H360" s="21">
        <f t="shared" ref="H360" si="32">146*250/200</f>
        <v>182.5</v>
      </c>
      <c r="I360" s="21">
        <f t="shared" ref="I360" si="33">36*250/200</f>
        <v>45</v>
      </c>
      <c r="J360" s="21">
        <f t="shared" ref="J360" si="34">250*250/200</f>
        <v>312.5</v>
      </c>
      <c r="K360" s="21">
        <f t="shared" ref="K360" si="35">50*250/200</f>
        <v>62.5</v>
      </c>
      <c r="L360" s="21">
        <f t="shared" ref="L360" si="36">29.1*250/200</f>
        <v>36.375</v>
      </c>
      <c r="M360" s="21">
        <f t="shared" ref="M360" si="37">3*250/200</f>
        <v>3.75</v>
      </c>
      <c r="N360" s="21">
        <f t="shared" ref="N360" si="38">0.08*250/200</f>
        <v>0.1</v>
      </c>
      <c r="O360" s="21">
        <f t="shared" ref="O360" si="39">0.46*250/200</f>
        <v>0.57499999999999996</v>
      </c>
      <c r="P360" s="21">
        <f t="shared" ref="P360" si="40">0.6*250/200</f>
        <v>0.75</v>
      </c>
      <c r="Q360" s="21">
        <f t="shared" ref="Q360" si="41">1*250/200</f>
        <v>1.25</v>
      </c>
    </row>
    <row r="361" spans="1:17" ht="30" x14ac:dyDescent="0.25">
      <c r="A361" s="17" t="s">
        <v>24</v>
      </c>
      <c r="B361" s="6" t="s">
        <v>50</v>
      </c>
      <c r="C361" s="15">
        <v>30</v>
      </c>
      <c r="D361" s="15">
        <v>2.2799999999999998</v>
      </c>
      <c r="E361" s="15">
        <v>0.24</v>
      </c>
      <c r="F361" s="15">
        <v>14.76</v>
      </c>
      <c r="G361" s="15">
        <v>57.9</v>
      </c>
      <c r="H361" s="15">
        <v>5.7</v>
      </c>
      <c r="I361" s="15">
        <v>3.9</v>
      </c>
      <c r="J361" s="15">
        <v>19.5</v>
      </c>
      <c r="K361" s="15">
        <v>0</v>
      </c>
      <c r="L361" s="15">
        <v>0</v>
      </c>
      <c r="M361" s="15">
        <v>0.36</v>
      </c>
      <c r="N361" s="15">
        <v>3.3000000000000002E-2</v>
      </c>
      <c r="O361" s="15">
        <v>8.9999999999999993E-3</v>
      </c>
      <c r="P361" s="15">
        <v>0.27</v>
      </c>
      <c r="Q361" s="15">
        <v>0</v>
      </c>
    </row>
    <row r="362" spans="1:17" ht="31.5" x14ac:dyDescent="0.25">
      <c r="A362" s="17" t="s">
        <v>75</v>
      </c>
      <c r="B362" s="5" t="s">
        <v>51</v>
      </c>
      <c r="C362" s="15">
        <v>20</v>
      </c>
      <c r="D362" s="15">
        <f t="shared" ref="D362" si="42">0.1*2</f>
        <v>0.2</v>
      </c>
      <c r="E362" s="15">
        <f t="shared" ref="E362" si="43">8.3*2</f>
        <v>16.600000000000001</v>
      </c>
      <c r="F362" s="15">
        <f t="shared" ref="F362" si="44">0.1*2</f>
        <v>0.2</v>
      </c>
      <c r="G362" s="15">
        <f t="shared" ref="G362" si="45">74.9*2</f>
        <v>149.80000000000001</v>
      </c>
      <c r="H362" s="15">
        <f t="shared" ref="H362" si="46">2*2</f>
        <v>4</v>
      </c>
      <c r="I362" s="15">
        <v>0</v>
      </c>
      <c r="J362" s="15">
        <v>4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f t="shared" ref="P362" si="47">0.01*2</f>
        <v>0.02</v>
      </c>
      <c r="Q362" s="15">
        <v>0</v>
      </c>
    </row>
    <row r="363" spans="1:17" ht="31.5" x14ac:dyDescent="0.25">
      <c r="A363" s="3" t="s">
        <v>94</v>
      </c>
      <c r="B363" s="5" t="s">
        <v>65</v>
      </c>
      <c r="C363" s="9">
        <v>200</v>
      </c>
      <c r="D363" s="9">
        <v>3.8</v>
      </c>
      <c r="E363" s="9">
        <v>3.5</v>
      </c>
      <c r="F363" s="9">
        <v>11.1</v>
      </c>
      <c r="G363" s="9">
        <v>90.8</v>
      </c>
      <c r="H363" s="9">
        <v>112</v>
      </c>
      <c r="I363" s="9">
        <v>30</v>
      </c>
      <c r="J363" s="9">
        <v>107</v>
      </c>
      <c r="K363" s="9">
        <v>0</v>
      </c>
      <c r="L363" s="9">
        <v>0</v>
      </c>
      <c r="M363" s="9">
        <v>1</v>
      </c>
      <c r="N363" s="9">
        <v>0.02</v>
      </c>
      <c r="O363" s="9">
        <v>0.11</v>
      </c>
      <c r="P363" s="9">
        <v>0.2</v>
      </c>
      <c r="Q363" s="9">
        <v>0</v>
      </c>
    </row>
    <row r="364" spans="1:17" ht="15.75" x14ac:dyDescent="0.25">
      <c r="A364" s="3" t="s">
        <v>24</v>
      </c>
      <c r="B364" s="5" t="s">
        <v>105</v>
      </c>
      <c r="C364" s="9">
        <v>75</v>
      </c>
      <c r="D364" s="9">
        <v>0.6</v>
      </c>
      <c r="E364" s="9">
        <v>0</v>
      </c>
      <c r="F364" s="9">
        <v>5.9</v>
      </c>
      <c r="G364" s="9">
        <v>25.7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1.8</v>
      </c>
      <c r="Q364" s="9">
        <v>20</v>
      </c>
    </row>
    <row r="365" spans="1:17" ht="15.75" x14ac:dyDescent="0.25">
      <c r="A365" s="2"/>
      <c r="B365" s="11" t="s">
        <v>18</v>
      </c>
      <c r="C365" s="9">
        <f t="shared" ref="C365:Q365" si="48">SUM(C360:C363)</f>
        <v>500</v>
      </c>
      <c r="D365" s="9">
        <f t="shared" si="48"/>
        <v>24.68</v>
      </c>
      <c r="E365" s="9">
        <f t="shared" si="48"/>
        <v>47.452500000000001</v>
      </c>
      <c r="F365" s="9">
        <f t="shared" si="48"/>
        <v>34.585000000000001</v>
      </c>
      <c r="G365" s="9">
        <f t="shared" si="48"/>
        <v>650</v>
      </c>
      <c r="H365" s="9">
        <f t="shared" si="48"/>
        <v>304.2</v>
      </c>
      <c r="I365" s="9">
        <f t="shared" si="48"/>
        <v>78.900000000000006</v>
      </c>
      <c r="J365" s="9">
        <f t="shared" si="48"/>
        <v>443</v>
      </c>
      <c r="K365" s="9">
        <f t="shared" si="48"/>
        <v>62.5</v>
      </c>
      <c r="L365" s="9">
        <f t="shared" si="48"/>
        <v>36.375</v>
      </c>
      <c r="M365" s="9">
        <f t="shared" si="48"/>
        <v>5.1100000000000003</v>
      </c>
      <c r="N365" s="9">
        <f t="shared" si="48"/>
        <v>0.153</v>
      </c>
      <c r="O365" s="9">
        <f t="shared" si="48"/>
        <v>0.69399999999999995</v>
      </c>
      <c r="P365" s="9">
        <f t="shared" si="48"/>
        <v>1.24</v>
      </c>
      <c r="Q365" s="9">
        <f t="shared" si="48"/>
        <v>1.25</v>
      </c>
    </row>
    <row r="366" spans="1:17" ht="36.75" customHeight="1" x14ac:dyDescent="0.25"/>
    <row r="367" spans="1:17" ht="15" customHeight="1" x14ac:dyDescent="0.25">
      <c r="A367" s="45" t="s">
        <v>0</v>
      </c>
      <c r="B367" s="45" t="s">
        <v>1</v>
      </c>
      <c r="C367" s="45" t="s">
        <v>2</v>
      </c>
      <c r="D367" s="42" t="s">
        <v>3</v>
      </c>
      <c r="E367" s="43"/>
      <c r="F367" s="44"/>
      <c r="G367" s="45" t="s">
        <v>16</v>
      </c>
      <c r="H367" s="42" t="s">
        <v>7</v>
      </c>
      <c r="I367" s="43"/>
      <c r="J367" s="43"/>
      <c r="K367" s="43"/>
      <c r="L367" s="43"/>
      <c r="M367" s="44"/>
      <c r="N367" s="42" t="s">
        <v>19</v>
      </c>
      <c r="O367" s="43"/>
      <c r="P367" s="43"/>
      <c r="Q367" s="44"/>
    </row>
    <row r="368" spans="1:17" ht="30" x14ac:dyDescent="0.25">
      <c r="A368" s="46"/>
      <c r="B368" s="46"/>
      <c r="C368" s="46"/>
      <c r="D368" s="7" t="s">
        <v>4</v>
      </c>
      <c r="E368" s="8" t="s">
        <v>5</v>
      </c>
      <c r="F368" s="8" t="s">
        <v>6</v>
      </c>
      <c r="G368" s="46"/>
      <c r="H368" s="6" t="s">
        <v>8</v>
      </c>
      <c r="I368" s="6" t="s">
        <v>9</v>
      </c>
      <c r="J368" s="6" t="s">
        <v>10</v>
      </c>
      <c r="K368" s="33" t="s">
        <v>107</v>
      </c>
      <c r="L368" s="33" t="s">
        <v>108</v>
      </c>
      <c r="M368" s="6" t="s">
        <v>11</v>
      </c>
      <c r="N368" s="6" t="s">
        <v>12</v>
      </c>
      <c r="O368" s="6" t="s">
        <v>13</v>
      </c>
      <c r="P368" s="6" t="s">
        <v>14</v>
      </c>
      <c r="Q368" s="6" t="s">
        <v>15</v>
      </c>
    </row>
    <row r="369" spans="1:17" ht="15.75" x14ac:dyDescent="0.25">
      <c r="A369" s="1"/>
      <c r="B369" s="47" t="s">
        <v>141</v>
      </c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9"/>
    </row>
    <row r="370" spans="1:17" ht="31.5" x14ac:dyDescent="0.25">
      <c r="A370" s="3" t="s">
        <v>82</v>
      </c>
      <c r="B370" s="4" t="s">
        <v>69</v>
      </c>
      <c r="C370" s="21">
        <v>250</v>
      </c>
      <c r="D370" s="21">
        <f>14.72*250/200</f>
        <v>18.399999999999999</v>
      </c>
      <c r="E370" s="21">
        <f>21.69*250/200</f>
        <v>27.112500000000001</v>
      </c>
      <c r="F370" s="21">
        <f>6.82*250/200</f>
        <v>8.5250000000000004</v>
      </c>
      <c r="G370" s="21">
        <f>281.2*250/200</f>
        <v>351.5</v>
      </c>
      <c r="H370" s="21">
        <f>146*250/200</f>
        <v>182.5</v>
      </c>
      <c r="I370" s="21">
        <f>36*250/200</f>
        <v>45</v>
      </c>
      <c r="J370" s="21">
        <f>250*250/200</f>
        <v>312.5</v>
      </c>
      <c r="K370" s="21">
        <f>50*250/200</f>
        <v>62.5</v>
      </c>
      <c r="L370" s="21">
        <f>29.1*250/200</f>
        <v>36.375</v>
      </c>
      <c r="M370" s="21">
        <f>3*250/200</f>
        <v>3.75</v>
      </c>
      <c r="N370" s="21">
        <f>0.08*250/200</f>
        <v>0.1</v>
      </c>
      <c r="O370" s="21">
        <f>0.46*250/200</f>
        <v>0.57499999999999996</v>
      </c>
      <c r="P370" s="21">
        <f>0.6*250/200</f>
        <v>0.75</v>
      </c>
      <c r="Q370" s="21">
        <f>1*250/200</f>
        <v>1.25</v>
      </c>
    </row>
    <row r="371" spans="1:17" ht="30" x14ac:dyDescent="0.25">
      <c r="A371" s="17" t="s">
        <v>24</v>
      </c>
      <c r="B371" s="6" t="s">
        <v>50</v>
      </c>
      <c r="C371" s="15">
        <v>30</v>
      </c>
      <c r="D371" s="15">
        <v>2.2799999999999998</v>
      </c>
      <c r="E371" s="15">
        <v>0.24</v>
      </c>
      <c r="F371" s="15">
        <v>14.76</v>
      </c>
      <c r="G371" s="15">
        <v>57.9</v>
      </c>
      <c r="H371" s="15">
        <v>5.7</v>
      </c>
      <c r="I371" s="15">
        <v>3.9</v>
      </c>
      <c r="J371" s="15">
        <v>19.5</v>
      </c>
      <c r="K371" s="15">
        <v>0</v>
      </c>
      <c r="L371" s="15">
        <v>0</v>
      </c>
      <c r="M371" s="15">
        <v>0.36</v>
      </c>
      <c r="N371" s="15">
        <v>3.3000000000000002E-2</v>
      </c>
      <c r="O371" s="15">
        <v>8.9999999999999993E-3</v>
      </c>
      <c r="P371" s="15">
        <v>0.27</v>
      </c>
      <c r="Q371" s="15">
        <v>0</v>
      </c>
    </row>
    <row r="372" spans="1:17" ht="31.5" x14ac:dyDescent="0.25">
      <c r="A372" s="17" t="s">
        <v>75</v>
      </c>
      <c r="B372" s="5" t="s">
        <v>51</v>
      </c>
      <c r="C372" s="15">
        <v>20</v>
      </c>
      <c r="D372" s="15">
        <f>0.1*2</f>
        <v>0.2</v>
      </c>
      <c r="E372" s="15">
        <f>8.3*2</f>
        <v>16.600000000000001</v>
      </c>
      <c r="F372" s="15">
        <f>0.1*2</f>
        <v>0.2</v>
      </c>
      <c r="G372" s="15">
        <f>74.9*2</f>
        <v>149.80000000000001</v>
      </c>
      <c r="H372" s="15">
        <f>2*2</f>
        <v>4</v>
      </c>
      <c r="I372" s="15">
        <v>0</v>
      </c>
      <c r="J372" s="15">
        <v>4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f>0.01*2</f>
        <v>0.02</v>
      </c>
      <c r="Q372" s="15">
        <v>0</v>
      </c>
    </row>
    <row r="373" spans="1:17" ht="31.5" x14ac:dyDescent="0.25">
      <c r="A373" s="3" t="s">
        <v>94</v>
      </c>
      <c r="B373" s="5" t="s">
        <v>65</v>
      </c>
      <c r="C373" s="9">
        <v>200</v>
      </c>
      <c r="D373" s="9">
        <v>3.8</v>
      </c>
      <c r="E373" s="9">
        <v>3.5</v>
      </c>
      <c r="F373" s="9">
        <v>11.1</v>
      </c>
      <c r="G373" s="9">
        <v>90.8</v>
      </c>
      <c r="H373" s="9">
        <v>112</v>
      </c>
      <c r="I373" s="9">
        <v>30</v>
      </c>
      <c r="J373" s="9">
        <v>107</v>
      </c>
      <c r="K373" s="9">
        <v>0</v>
      </c>
      <c r="L373" s="9">
        <v>0</v>
      </c>
      <c r="M373" s="9">
        <v>1</v>
      </c>
      <c r="N373" s="9">
        <v>0.02</v>
      </c>
      <c r="O373" s="9">
        <v>0.11</v>
      </c>
      <c r="P373" s="9">
        <v>0.2</v>
      </c>
      <c r="Q373" s="9">
        <v>0</v>
      </c>
    </row>
    <row r="374" spans="1:17" ht="15.75" x14ac:dyDescent="0.25">
      <c r="A374" s="2"/>
      <c r="B374" s="11" t="s">
        <v>18</v>
      </c>
      <c r="C374" s="9">
        <f t="shared" ref="C374:Q374" si="49">SUM(C370:C373)</f>
        <v>500</v>
      </c>
      <c r="D374" s="9">
        <f t="shared" si="49"/>
        <v>24.68</v>
      </c>
      <c r="E374" s="9">
        <f t="shared" si="49"/>
        <v>47.452500000000001</v>
      </c>
      <c r="F374" s="9">
        <f t="shared" si="49"/>
        <v>34.585000000000001</v>
      </c>
      <c r="G374" s="9">
        <f t="shared" si="49"/>
        <v>650</v>
      </c>
      <c r="H374" s="9">
        <f t="shared" si="49"/>
        <v>304.2</v>
      </c>
      <c r="I374" s="9">
        <f t="shared" si="49"/>
        <v>78.900000000000006</v>
      </c>
      <c r="J374" s="9">
        <f t="shared" si="49"/>
        <v>443</v>
      </c>
      <c r="K374" s="9">
        <f t="shared" si="49"/>
        <v>62.5</v>
      </c>
      <c r="L374" s="9">
        <f t="shared" si="49"/>
        <v>36.375</v>
      </c>
      <c r="M374" s="9">
        <f t="shared" si="49"/>
        <v>5.1100000000000003</v>
      </c>
      <c r="N374" s="9">
        <f t="shared" si="49"/>
        <v>0.153</v>
      </c>
      <c r="O374" s="9">
        <f t="shared" si="49"/>
        <v>0.69399999999999995</v>
      </c>
      <c r="P374" s="9">
        <f t="shared" si="49"/>
        <v>1.24</v>
      </c>
      <c r="Q374" s="9">
        <f t="shared" si="49"/>
        <v>1.25</v>
      </c>
    </row>
    <row r="381" spans="1:17" x14ac:dyDescent="0.25">
      <c r="N381" s="50" t="s">
        <v>135</v>
      </c>
      <c r="O381" s="50"/>
      <c r="P381" s="50"/>
      <c r="Q381" s="50"/>
    </row>
    <row r="382" spans="1:17" x14ac:dyDescent="0.25">
      <c r="N382" s="50" t="s">
        <v>136</v>
      </c>
      <c r="O382" s="50"/>
      <c r="P382" s="50"/>
      <c r="Q382" s="50"/>
    </row>
    <row r="383" spans="1:17" x14ac:dyDescent="0.25">
      <c r="B383" s="14" t="s">
        <v>153</v>
      </c>
      <c r="N383" s="50" t="s">
        <v>139</v>
      </c>
      <c r="O383" s="50"/>
      <c r="P383" s="50"/>
      <c r="Q383" s="50"/>
    </row>
    <row r="384" spans="1:17" x14ac:dyDescent="0.25">
      <c r="N384" s="51" t="s">
        <v>137</v>
      </c>
      <c r="O384" s="51"/>
      <c r="P384" s="51"/>
      <c r="Q384" s="51"/>
    </row>
    <row r="385" spans="1:17" x14ac:dyDescent="0.25">
      <c r="N385" s="41"/>
      <c r="O385" s="41"/>
      <c r="P385" s="41"/>
      <c r="Q385" s="41"/>
    </row>
    <row r="386" spans="1:17" ht="15" customHeight="1" x14ac:dyDescent="0.25">
      <c r="A386" s="45" t="s">
        <v>0</v>
      </c>
      <c r="B386" s="45" t="s">
        <v>1</v>
      </c>
      <c r="C386" s="45" t="s">
        <v>2</v>
      </c>
      <c r="D386" s="42" t="s">
        <v>3</v>
      </c>
      <c r="E386" s="43"/>
      <c r="F386" s="44"/>
      <c r="G386" s="45" t="s">
        <v>16</v>
      </c>
      <c r="H386" s="42" t="s">
        <v>7</v>
      </c>
      <c r="I386" s="43"/>
      <c r="J386" s="43"/>
      <c r="K386" s="43"/>
      <c r="L386" s="43"/>
      <c r="M386" s="44"/>
      <c r="N386" s="42" t="s">
        <v>19</v>
      </c>
      <c r="O386" s="43"/>
      <c r="P386" s="43"/>
      <c r="Q386" s="44"/>
    </row>
    <row r="387" spans="1:17" ht="15" customHeight="1" x14ac:dyDescent="0.25">
      <c r="A387" s="46"/>
      <c r="B387" s="46"/>
      <c r="C387" s="46"/>
      <c r="D387" s="7" t="s">
        <v>4</v>
      </c>
      <c r="E387" s="8" t="s">
        <v>5</v>
      </c>
      <c r="F387" s="8" t="s">
        <v>6</v>
      </c>
      <c r="G387" s="46"/>
      <c r="H387" s="6" t="s">
        <v>8</v>
      </c>
      <c r="I387" s="6" t="s">
        <v>9</v>
      </c>
      <c r="J387" s="6" t="s">
        <v>10</v>
      </c>
      <c r="K387" s="33" t="s">
        <v>107</v>
      </c>
      <c r="L387" s="33" t="s">
        <v>108</v>
      </c>
      <c r="M387" s="6" t="s">
        <v>11</v>
      </c>
      <c r="N387" s="6" t="s">
        <v>12</v>
      </c>
      <c r="O387" s="6" t="s">
        <v>13</v>
      </c>
      <c r="P387" s="6" t="s">
        <v>14</v>
      </c>
      <c r="Q387" s="6" t="s">
        <v>15</v>
      </c>
    </row>
    <row r="388" spans="1:17" ht="15.75" x14ac:dyDescent="0.25">
      <c r="A388" s="1"/>
      <c r="B388" s="47" t="s">
        <v>133</v>
      </c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9"/>
    </row>
    <row r="389" spans="1:17" ht="31.5" x14ac:dyDescent="0.25">
      <c r="A389" s="3" t="s">
        <v>73</v>
      </c>
      <c r="B389" s="4" t="s">
        <v>72</v>
      </c>
      <c r="C389" s="9">
        <v>250</v>
      </c>
      <c r="D389" s="9">
        <f>27.3*250/200</f>
        <v>34.125</v>
      </c>
      <c r="E389" s="9">
        <f>7.9*250/200</f>
        <v>9.875</v>
      </c>
      <c r="F389" s="9">
        <f>34.7*250/200</f>
        <v>43.375</v>
      </c>
      <c r="G389" s="9">
        <f>318.8*250/200</f>
        <v>398.5</v>
      </c>
      <c r="H389" s="9">
        <f>29*250/200</f>
        <v>36.25</v>
      </c>
      <c r="I389" s="9">
        <f>93*250/200</f>
        <v>116.25</v>
      </c>
      <c r="J389" s="9">
        <f>212*250/200</f>
        <v>265</v>
      </c>
      <c r="K389" s="9">
        <f>23.1*250/200</f>
        <v>28.875</v>
      </c>
      <c r="L389" s="9">
        <f>27.5*250/200</f>
        <v>34.375</v>
      </c>
      <c r="M389" s="9">
        <f>2*250/200</f>
        <v>2.5</v>
      </c>
      <c r="N389" s="9">
        <f>0.08*250/200</f>
        <v>0.1</v>
      </c>
      <c r="O389" s="9">
        <f>0.08*250/200</f>
        <v>0.1</v>
      </c>
      <c r="P389" s="9">
        <f>7.3*250/200</f>
        <v>9.125</v>
      </c>
      <c r="Q389" s="9">
        <f>2*250/200</f>
        <v>2.5</v>
      </c>
    </row>
    <row r="390" spans="1:17" ht="30" x14ac:dyDescent="0.25">
      <c r="A390" s="17" t="s">
        <v>24</v>
      </c>
      <c r="B390" s="6" t="s">
        <v>50</v>
      </c>
      <c r="C390" s="15">
        <v>30</v>
      </c>
      <c r="D390" s="15">
        <v>2.2799999999999998</v>
      </c>
      <c r="E390" s="15">
        <v>0.24</v>
      </c>
      <c r="F390" s="15">
        <v>14.76</v>
      </c>
      <c r="G390" s="15">
        <v>57.9</v>
      </c>
      <c r="H390" s="15">
        <v>5.7</v>
      </c>
      <c r="I390" s="15">
        <v>3.9</v>
      </c>
      <c r="J390" s="15">
        <v>19.5</v>
      </c>
      <c r="K390" s="15">
        <v>0</v>
      </c>
      <c r="L390" s="15">
        <v>0</v>
      </c>
      <c r="M390" s="15">
        <v>0.36</v>
      </c>
      <c r="N390" s="15">
        <v>3.3000000000000002E-2</v>
      </c>
      <c r="O390" s="15">
        <v>8.9999999999999993E-3</v>
      </c>
      <c r="P390" s="15">
        <v>0.27</v>
      </c>
      <c r="Q390" s="15">
        <v>0</v>
      </c>
    </row>
    <row r="391" spans="1:17" ht="15.75" x14ac:dyDescent="0.25">
      <c r="A391" s="3" t="s">
        <v>24</v>
      </c>
      <c r="B391" s="5" t="s">
        <v>67</v>
      </c>
      <c r="C391" s="9">
        <v>30</v>
      </c>
      <c r="D391" s="9">
        <v>0.1</v>
      </c>
      <c r="E391" s="9">
        <v>0</v>
      </c>
      <c r="F391" s="9">
        <v>19.5</v>
      </c>
      <c r="G391" s="9">
        <v>71.8</v>
      </c>
      <c r="H391" s="9">
        <v>4</v>
      </c>
      <c r="I391" s="9">
        <v>2</v>
      </c>
      <c r="J391" s="9">
        <v>3</v>
      </c>
      <c r="K391" s="9">
        <v>0</v>
      </c>
      <c r="L391" s="9">
        <v>0</v>
      </c>
      <c r="M391" s="9">
        <v>0.4</v>
      </c>
      <c r="N391" s="9">
        <v>0</v>
      </c>
      <c r="O391" s="9">
        <v>0.01</v>
      </c>
      <c r="P391" s="9">
        <v>0</v>
      </c>
      <c r="Q391" s="9">
        <v>0.2</v>
      </c>
    </row>
    <row r="392" spans="1:17" ht="15.75" x14ac:dyDescent="0.25">
      <c r="A392" s="32" t="s">
        <v>24</v>
      </c>
      <c r="B392" s="5" t="s">
        <v>104</v>
      </c>
      <c r="C392" s="15">
        <v>75</v>
      </c>
      <c r="D392" s="15">
        <v>0.3</v>
      </c>
      <c r="E392" s="15">
        <v>0.3</v>
      </c>
      <c r="F392" s="15">
        <v>7.35</v>
      </c>
      <c r="G392" s="15">
        <v>35.25</v>
      </c>
      <c r="H392" s="15">
        <v>12</v>
      </c>
      <c r="I392" s="15">
        <v>6.75</v>
      </c>
      <c r="J392" s="15">
        <v>8.25</v>
      </c>
      <c r="K392" s="15">
        <v>0</v>
      </c>
      <c r="L392" s="15">
        <v>0</v>
      </c>
      <c r="M392" s="15">
        <v>1.65</v>
      </c>
      <c r="N392" s="15">
        <v>2.2499999999999999E-2</v>
      </c>
      <c r="O392" s="15">
        <v>1.4999999999999999E-2</v>
      </c>
      <c r="P392" s="15">
        <v>0.22500000000000001</v>
      </c>
      <c r="Q392" s="15">
        <v>7.5</v>
      </c>
    </row>
    <row r="393" spans="1:17" ht="45" x14ac:dyDescent="0.25">
      <c r="A393" s="3" t="s">
        <v>89</v>
      </c>
      <c r="B393" s="5" t="s">
        <v>90</v>
      </c>
      <c r="C393" s="9">
        <v>200</v>
      </c>
      <c r="D393" s="9">
        <v>0.2</v>
      </c>
      <c r="E393" s="9">
        <v>0</v>
      </c>
      <c r="F393" s="9">
        <v>6.6</v>
      </c>
      <c r="G393" s="9">
        <v>27.6</v>
      </c>
      <c r="H393" s="9">
        <v>6</v>
      </c>
      <c r="I393" s="9">
        <v>5</v>
      </c>
      <c r="J393" s="9">
        <v>8</v>
      </c>
      <c r="K393" s="9">
        <v>0</v>
      </c>
      <c r="L393" s="9">
        <v>0</v>
      </c>
      <c r="M393" s="9">
        <v>1</v>
      </c>
      <c r="N393" s="9">
        <v>0</v>
      </c>
      <c r="O393" s="9">
        <v>0.01</v>
      </c>
      <c r="P393" s="9">
        <v>7.0000000000000007E-2</v>
      </c>
      <c r="Q393" s="9">
        <v>1</v>
      </c>
    </row>
    <row r="394" spans="1:17" ht="15.75" x14ac:dyDescent="0.25">
      <c r="A394" s="2"/>
      <c r="B394" s="11" t="s">
        <v>18</v>
      </c>
      <c r="C394" s="9">
        <f t="shared" ref="C394:Q394" si="50">SUM(C389:C393)</f>
        <v>585</v>
      </c>
      <c r="D394" s="9">
        <f t="shared" si="50"/>
        <v>37.005000000000003</v>
      </c>
      <c r="E394" s="9">
        <f t="shared" si="50"/>
        <v>10.415000000000001</v>
      </c>
      <c r="F394" s="9">
        <f t="shared" si="50"/>
        <v>91.58499999999998</v>
      </c>
      <c r="G394" s="9">
        <f t="shared" si="50"/>
        <v>591.04999999999995</v>
      </c>
      <c r="H394" s="9">
        <f t="shared" si="50"/>
        <v>63.95</v>
      </c>
      <c r="I394" s="9">
        <f t="shared" si="50"/>
        <v>133.9</v>
      </c>
      <c r="J394" s="9">
        <f t="shared" si="50"/>
        <v>303.75</v>
      </c>
      <c r="K394" s="9">
        <f t="shared" si="50"/>
        <v>28.875</v>
      </c>
      <c r="L394" s="9">
        <f t="shared" si="50"/>
        <v>34.375</v>
      </c>
      <c r="M394" s="9">
        <f t="shared" si="50"/>
        <v>5.91</v>
      </c>
      <c r="N394" s="9">
        <f t="shared" si="50"/>
        <v>0.1555</v>
      </c>
      <c r="O394" s="9">
        <f t="shared" si="50"/>
        <v>0.14400000000000002</v>
      </c>
      <c r="P394" s="9">
        <f t="shared" si="50"/>
        <v>9.69</v>
      </c>
      <c r="Q394" s="9">
        <f t="shared" si="50"/>
        <v>11.2</v>
      </c>
    </row>
    <row r="397" spans="1:17" x14ac:dyDescent="0.25">
      <c r="A397" s="45" t="s">
        <v>0</v>
      </c>
      <c r="B397" s="45" t="s">
        <v>1</v>
      </c>
      <c r="C397" s="45" t="s">
        <v>2</v>
      </c>
      <c r="D397" s="42" t="s">
        <v>3</v>
      </c>
      <c r="E397" s="43"/>
      <c r="F397" s="44"/>
      <c r="G397" s="45" t="s">
        <v>16</v>
      </c>
      <c r="H397" s="42" t="s">
        <v>7</v>
      </c>
      <c r="I397" s="43"/>
      <c r="J397" s="43"/>
      <c r="K397" s="43"/>
      <c r="L397" s="43"/>
      <c r="M397" s="44"/>
      <c r="N397" s="42" t="s">
        <v>19</v>
      </c>
      <c r="O397" s="43"/>
      <c r="P397" s="43"/>
      <c r="Q397" s="44"/>
    </row>
    <row r="398" spans="1:17" ht="30" x14ac:dyDescent="0.25">
      <c r="A398" s="46"/>
      <c r="B398" s="46"/>
      <c r="C398" s="46"/>
      <c r="D398" s="7" t="s">
        <v>4</v>
      </c>
      <c r="E398" s="8" t="s">
        <v>5</v>
      </c>
      <c r="F398" s="8" t="s">
        <v>6</v>
      </c>
      <c r="G398" s="46"/>
      <c r="H398" s="6" t="s">
        <v>8</v>
      </c>
      <c r="I398" s="6" t="s">
        <v>9</v>
      </c>
      <c r="J398" s="6" t="s">
        <v>10</v>
      </c>
      <c r="K398" s="33" t="s">
        <v>107</v>
      </c>
      <c r="L398" s="33" t="s">
        <v>108</v>
      </c>
      <c r="M398" s="6" t="s">
        <v>11</v>
      </c>
      <c r="N398" s="6" t="s">
        <v>12</v>
      </c>
      <c r="O398" s="6" t="s">
        <v>13</v>
      </c>
      <c r="P398" s="6" t="s">
        <v>14</v>
      </c>
      <c r="Q398" s="6" t="s">
        <v>15</v>
      </c>
    </row>
    <row r="399" spans="1:17" ht="15.75" x14ac:dyDescent="0.25">
      <c r="A399" s="1"/>
      <c r="B399" s="47" t="s">
        <v>147</v>
      </c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9"/>
    </row>
    <row r="400" spans="1:17" ht="31.5" x14ac:dyDescent="0.25">
      <c r="A400" s="3" t="s">
        <v>78</v>
      </c>
      <c r="B400" s="4" t="s">
        <v>71</v>
      </c>
      <c r="C400" s="21">
        <v>200</v>
      </c>
      <c r="D400" s="21">
        <v>6.6669999999999998</v>
      </c>
      <c r="E400" s="21">
        <v>7.0670000000000002</v>
      </c>
      <c r="F400" s="21">
        <v>46.667000000000002</v>
      </c>
      <c r="G400" s="21">
        <v>277.33300000000003</v>
      </c>
      <c r="H400" s="21">
        <v>78.667000000000002</v>
      </c>
      <c r="I400" s="21">
        <v>9.3330000000000002</v>
      </c>
      <c r="J400" s="21">
        <v>53.332999999999998</v>
      </c>
      <c r="K400" s="21">
        <v>26.667000000000002</v>
      </c>
      <c r="L400" s="21">
        <v>0.13300000000000001</v>
      </c>
      <c r="M400" s="21">
        <v>1.333</v>
      </c>
      <c r="N400" s="21">
        <f>0.06*200/150</f>
        <v>0.08</v>
      </c>
      <c r="O400" s="21">
        <f>0.03*200/150</f>
        <v>0.04</v>
      </c>
      <c r="P400" s="21">
        <f>0.5*200/150</f>
        <v>0.66666666666666663</v>
      </c>
      <c r="Q400" s="21">
        <v>0</v>
      </c>
    </row>
    <row r="401" spans="1:17" ht="31.5" x14ac:dyDescent="0.25">
      <c r="A401" s="17" t="s">
        <v>100</v>
      </c>
      <c r="B401" s="6" t="s">
        <v>101</v>
      </c>
      <c r="C401" s="10">
        <v>75</v>
      </c>
      <c r="D401" s="9">
        <v>14.1</v>
      </c>
      <c r="E401" s="9">
        <v>11.9</v>
      </c>
      <c r="F401" s="9">
        <v>11.4</v>
      </c>
      <c r="G401" s="9">
        <v>209</v>
      </c>
      <c r="H401" s="9">
        <v>43</v>
      </c>
      <c r="I401" s="9">
        <v>25</v>
      </c>
      <c r="J401" s="9">
        <v>165</v>
      </c>
      <c r="K401" s="9">
        <v>14.2</v>
      </c>
      <c r="L401" s="9">
        <v>2.1</v>
      </c>
      <c r="M401" s="9">
        <v>1</v>
      </c>
      <c r="N401" s="9">
        <v>0.11</v>
      </c>
      <c r="O401" s="9">
        <v>0.14000000000000001</v>
      </c>
      <c r="P401" s="9">
        <v>2.2000000000000002</v>
      </c>
      <c r="Q401" s="9">
        <v>0</v>
      </c>
    </row>
    <row r="402" spans="1:17" ht="30" x14ac:dyDescent="0.25">
      <c r="A402" s="17" t="s">
        <v>24</v>
      </c>
      <c r="B402" s="6" t="s">
        <v>50</v>
      </c>
      <c r="C402" s="15">
        <v>30</v>
      </c>
      <c r="D402" s="15">
        <v>2.2799999999999998</v>
      </c>
      <c r="E402" s="15">
        <v>0.24</v>
      </c>
      <c r="F402" s="15">
        <v>14.76</v>
      </c>
      <c r="G402" s="15">
        <v>57.9</v>
      </c>
      <c r="H402" s="15">
        <v>5.7</v>
      </c>
      <c r="I402" s="15">
        <v>3.9</v>
      </c>
      <c r="J402" s="15">
        <v>19.5</v>
      </c>
      <c r="K402" s="15">
        <v>0</v>
      </c>
      <c r="L402" s="15">
        <v>0</v>
      </c>
      <c r="M402" s="15">
        <v>0.36</v>
      </c>
      <c r="N402" s="15">
        <v>3.3000000000000002E-2</v>
      </c>
      <c r="O402" s="15">
        <v>8.9999999999999993E-3</v>
      </c>
      <c r="P402" s="15">
        <v>0.27</v>
      </c>
      <c r="Q402" s="15">
        <v>0</v>
      </c>
    </row>
    <row r="403" spans="1:17" ht="45" x14ac:dyDescent="0.25">
      <c r="A403" s="17" t="s">
        <v>91</v>
      </c>
      <c r="B403" s="6" t="s">
        <v>92</v>
      </c>
      <c r="C403" s="15">
        <v>200</v>
      </c>
      <c r="D403" s="15">
        <v>1.5</v>
      </c>
      <c r="E403" s="15">
        <v>1.4</v>
      </c>
      <c r="F403" s="15">
        <v>8.6</v>
      </c>
      <c r="G403" s="15">
        <v>52.9</v>
      </c>
      <c r="H403" s="15">
        <v>57</v>
      </c>
      <c r="I403" s="15">
        <v>10</v>
      </c>
      <c r="J403" s="15">
        <v>47</v>
      </c>
      <c r="K403" s="15">
        <v>4.5</v>
      </c>
      <c r="L403" s="15">
        <v>0.9</v>
      </c>
      <c r="M403" s="15">
        <v>1</v>
      </c>
      <c r="N403" s="15">
        <v>0</v>
      </c>
      <c r="O403" s="15">
        <v>0.06</v>
      </c>
      <c r="P403" s="15">
        <v>0.1</v>
      </c>
      <c r="Q403" s="15">
        <v>0</v>
      </c>
    </row>
    <row r="404" spans="1:17" ht="15.75" x14ac:dyDescent="0.25">
      <c r="A404" s="2"/>
      <c r="B404" s="11" t="s">
        <v>18</v>
      </c>
      <c r="C404" s="9">
        <f t="shared" ref="C404:Q404" si="51">SUM(C400:C403)</f>
        <v>505</v>
      </c>
      <c r="D404" s="9">
        <f t="shared" si="51"/>
        <v>24.547000000000001</v>
      </c>
      <c r="E404" s="9">
        <f t="shared" si="51"/>
        <v>20.606999999999996</v>
      </c>
      <c r="F404" s="9">
        <f t="shared" si="51"/>
        <v>81.426999999999992</v>
      </c>
      <c r="G404" s="9">
        <f t="shared" si="51"/>
        <v>597.13300000000004</v>
      </c>
      <c r="H404" s="9">
        <f t="shared" si="51"/>
        <v>184.36700000000002</v>
      </c>
      <c r="I404" s="9">
        <f t="shared" si="51"/>
        <v>48.232999999999997</v>
      </c>
      <c r="J404" s="9">
        <f t="shared" si="51"/>
        <v>284.83299999999997</v>
      </c>
      <c r="K404" s="9">
        <f t="shared" si="51"/>
        <v>45.367000000000004</v>
      </c>
      <c r="L404" s="9">
        <f t="shared" si="51"/>
        <v>3.133</v>
      </c>
      <c r="M404" s="9">
        <f t="shared" si="51"/>
        <v>3.6930000000000001</v>
      </c>
      <c r="N404" s="9">
        <f t="shared" si="51"/>
        <v>0.223</v>
      </c>
      <c r="O404" s="9">
        <f t="shared" si="51"/>
        <v>0.24900000000000003</v>
      </c>
      <c r="P404" s="9">
        <f t="shared" si="51"/>
        <v>3.2366666666666668</v>
      </c>
      <c r="Q404" s="9">
        <f t="shared" si="51"/>
        <v>0</v>
      </c>
    </row>
  </sheetData>
  <mergeCells count="290">
    <mergeCell ref="A94:Q94"/>
    <mergeCell ref="A95:A96"/>
    <mergeCell ref="B95:B96"/>
    <mergeCell ref="C95:C96"/>
    <mergeCell ref="D95:F95"/>
    <mergeCell ref="G95:G96"/>
    <mergeCell ref="H95:M95"/>
    <mergeCell ref="N95:Q95"/>
    <mergeCell ref="B108:Q108"/>
    <mergeCell ref="B97:Q97"/>
    <mergeCell ref="A105:Q105"/>
    <mergeCell ref="A106:A107"/>
    <mergeCell ref="B106:B107"/>
    <mergeCell ref="C106:C107"/>
    <mergeCell ref="D106:F106"/>
    <mergeCell ref="G106:G107"/>
    <mergeCell ref="H106:M106"/>
    <mergeCell ref="N106:Q106"/>
    <mergeCell ref="A82:Q82"/>
    <mergeCell ref="A83:A84"/>
    <mergeCell ref="B83:B84"/>
    <mergeCell ref="C83:C84"/>
    <mergeCell ref="D83:F83"/>
    <mergeCell ref="G83:G84"/>
    <mergeCell ref="H83:M83"/>
    <mergeCell ref="N83:Q83"/>
    <mergeCell ref="B85:Q85"/>
    <mergeCell ref="A71:Q71"/>
    <mergeCell ref="A72:A73"/>
    <mergeCell ref="B72:B73"/>
    <mergeCell ref="C72:C73"/>
    <mergeCell ref="D72:F72"/>
    <mergeCell ref="G72:G73"/>
    <mergeCell ref="H72:M72"/>
    <mergeCell ref="N72:Q72"/>
    <mergeCell ref="B74:Q74"/>
    <mergeCell ref="A58:Q58"/>
    <mergeCell ref="A59:A60"/>
    <mergeCell ref="B59:B60"/>
    <mergeCell ref="C59:C60"/>
    <mergeCell ref="D59:F59"/>
    <mergeCell ref="G59:G60"/>
    <mergeCell ref="H59:M59"/>
    <mergeCell ref="N59:Q59"/>
    <mergeCell ref="B61:Q61"/>
    <mergeCell ref="A48:Q48"/>
    <mergeCell ref="A49:A50"/>
    <mergeCell ref="B49:B50"/>
    <mergeCell ref="C49:C50"/>
    <mergeCell ref="D49:F49"/>
    <mergeCell ref="G49:G50"/>
    <mergeCell ref="H49:M49"/>
    <mergeCell ref="N49:Q49"/>
    <mergeCell ref="B51:Q51"/>
    <mergeCell ref="A35:Q35"/>
    <mergeCell ref="A36:A37"/>
    <mergeCell ref="B36:B37"/>
    <mergeCell ref="C36:C37"/>
    <mergeCell ref="D36:F36"/>
    <mergeCell ref="G36:G37"/>
    <mergeCell ref="H36:M36"/>
    <mergeCell ref="N36:Q36"/>
    <mergeCell ref="B38:Q38"/>
    <mergeCell ref="A24:Q24"/>
    <mergeCell ref="A25:A26"/>
    <mergeCell ref="B25:B26"/>
    <mergeCell ref="C25:C26"/>
    <mergeCell ref="D25:F25"/>
    <mergeCell ref="G25:G26"/>
    <mergeCell ref="H25:M25"/>
    <mergeCell ref="N25:Q25"/>
    <mergeCell ref="B27:Q27"/>
    <mergeCell ref="B15:Q15"/>
    <mergeCell ref="A12:Q12"/>
    <mergeCell ref="A13:A14"/>
    <mergeCell ref="B13:B14"/>
    <mergeCell ref="C13:C14"/>
    <mergeCell ref="D13:F13"/>
    <mergeCell ref="G13:G14"/>
    <mergeCell ref="H13:M13"/>
    <mergeCell ref="N13:Q13"/>
    <mergeCell ref="B4:Q4"/>
    <mergeCell ref="A1:Q1"/>
    <mergeCell ref="A2:A3"/>
    <mergeCell ref="B2:B3"/>
    <mergeCell ref="C2:C3"/>
    <mergeCell ref="D2:F2"/>
    <mergeCell ref="G2:G3"/>
    <mergeCell ref="H2:M2"/>
    <mergeCell ref="N2:Q2"/>
    <mergeCell ref="B136:Q136"/>
    <mergeCell ref="N123:Q123"/>
    <mergeCell ref="N122:Q122"/>
    <mergeCell ref="N121:Q121"/>
    <mergeCell ref="N120:Q120"/>
    <mergeCell ref="H124:M124"/>
    <mergeCell ref="N124:Q124"/>
    <mergeCell ref="B126:Q126"/>
    <mergeCell ref="A134:A135"/>
    <mergeCell ref="B134:B135"/>
    <mergeCell ref="C134:C135"/>
    <mergeCell ref="D134:F134"/>
    <mergeCell ref="G134:G135"/>
    <mergeCell ref="H134:M134"/>
    <mergeCell ref="N134:Q134"/>
    <mergeCell ref="A124:A125"/>
    <mergeCell ref="B124:B125"/>
    <mergeCell ref="C124:C125"/>
    <mergeCell ref="D124:F124"/>
    <mergeCell ref="G124:G125"/>
    <mergeCell ref="N146:Q146"/>
    <mergeCell ref="N147:Q147"/>
    <mergeCell ref="N148:Q148"/>
    <mergeCell ref="N149:Q149"/>
    <mergeCell ref="A150:A151"/>
    <mergeCell ref="B150:B151"/>
    <mergeCell ref="C150:C151"/>
    <mergeCell ref="D150:F150"/>
    <mergeCell ref="G150:G151"/>
    <mergeCell ref="H150:M150"/>
    <mergeCell ref="N150:Q150"/>
    <mergeCell ref="B163:Q163"/>
    <mergeCell ref="N173:Q173"/>
    <mergeCell ref="N174:Q174"/>
    <mergeCell ref="N175:Q175"/>
    <mergeCell ref="N176:Q176"/>
    <mergeCell ref="B152:Q152"/>
    <mergeCell ref="A161:A162"/>
    <mergeCell ref="B161:B162"/>
    <mergeCell ref="C161:C162"/>
    <mergeCell ref="D161:F161"/>
    <mergeCell ref="G161:G162"/>
    <mergeCell ref="H161:M161"/>
    <mergeCell ref="N161:Q161"/>
    <mergeCell ref="N199:Q199"/>
    <mergeCell ref="N200:Q200"/>
    <mergeCell ref="N201:Q201"/>
    <mergeCell ref="N202:Q202"/>
    <mergeCell ref="B189:Q189"/>
    <mergeCell ref="H177:M177"/>
    <mergeCell ref="N177:Q177"/>
    <mergeCell ref="B179:Q179"/>
    <mergeCell ref="A187:A188"/>
    <mergeCell ref="B187:B188"/>
    <mergeCell ref="C187:C188"/>
    <mergeCell ref="D187:F187"/>
    <mergeCell ref="G187:G188"/>
    <mergeCell ref="H187:M187"/>
    <mergeCell ref="N187:Q187"/>
    <mergeCell ref="A177:A178"/>
    <mergeCell ref="B177:B178"/>
    <mergeCell ref="C177:C178"/>
    <mergeCell ref="D177:F177"/>
    <mergeCell ref="G177:G178"/>
    <mergeCell ref="B216:Q216"/>
    <mergeCell ref="N224:Q224"/>
    <mergeCell ref="N225:Q225"/>
    <mergeCell ref="N226:Q226"/>
    <mergeCell ref="N227:Q227"/>
    <mergeCell ref="H203:M203"/>
    <mergeCell ref="N203:Q203"/>
    <mergeCell ref="B205:Q205"/>
    <mergeCell ref="A214:A215"/>
    <mergeCell ref="B214:B215"/>
    <mergeCell ref="C214:C215"/>
    <mergeCell ref="D214:F214"/>
    <mergeCell ref="G214:G215"/>
    <mergeCell ref="H214:M214"/>
    <mergeCell ref="N214:Q214"/>
    <mergeCell ref="A203:A204"/>
    <mergeCell ref="B203:B204"/>
    <mergeCell ref="C203:C204"/>
    <mergeCell ref="D203:F203"/>
    <mergeCell ref="G203:G204"/>
    <mergeCell ref="B239:Q239"/>
    <mergeCell ref="N256:Q256"/>
    <mergeCell ref="N257:Q257"/>
    <mergeCell ref="N258:Q258"/>
    <mergeCell ref="N259:Q259"/>
    <mergeCell ref="H228:M228"/>
    <mergeCell ref="N228:Q228"/>
    <mergeCell ref="B230:Q230"/>
    <mergeCell ref="A237:A238"/>
    <mergeCell ref="B237:B238"/>
    <mergeCell ref="C237:C238"/>
    <mergeCell ref="D237:F237"/>
    <mergeCell ref="G237:G238"/>
    <mergeCell ref="H237:M237"/>
    <mergeCell ref="N237:Q237"/>
    <mergeCell ref="A228:A229"/>
    <mergeCell ref="B228:B229"/>
    <mergeCell ref="C228:C229"/>
    <mergeCell ref="D228:F228"/>
    <mergeCell ref="G228:G229"/>
    <mergeCell ref="N287:Q287"/>
    <mergeCell ref="N288:Q288"/>
    <mergeCell ref="N289:Q289"/>
    <mergeCell ref="N290:Q290"/>
    <mergeCell ref="B275:Q275"/>
    <mergeCell ref="H261:M261"/>
    <mergeCell ref="N261:Q261"/>
    <mergeCell ref="B263:Q263"/>
    <mergeCell ref="A273:A274"/>
    <mergeCell ref="B273:B274"/>
    <mergeCell ref="C273:C274"/>
    <mergeCell ref="D273:F273"/>
    <mergeCell ref="G273:G274"/>
    <mergeCell ref="H273:M273"/>
    <mergeCell ref="N273:Q273"/>
    <mergeCell ref="A261:A262"/>
    <mergeCell ref="B261:B262"/>
    <mergeCell ref="C261:C262"/>
    <mergeCell ref="D261:F261"/>
    <mergeCell ref="G261:G262"/>
    <mergeCell ref="B305:Q305"/>
    <mergeCell ref="N318:Q318"/>
    <mergeCell ref="N319:Q319"/>
    <mergeCell ref="N320:Q320"/>
    <mergeCell ref="N321:Q321"/>
    <mergeCell ref="H292:M292"/>
    <mergeCell ref="N292:Q292"/>
    <mergeCell ref="B294:Q294"/>
    <mergeCell ref="A303:A304"/>
    <mergeCell ref="B303:B304"/>
    <mergeCell ref="C303:C304"/>
    <mergeCell ref="D303:F303"/>
    <mergeCell ref="G303:G304"/>
    <mergeCell ref="H303:M303"/>
    <mergeCell ref="N303:Q303"/>
    <mergeCell ref="A292:A293"/>
    <mergeCell ref="B292:B293"/>
    <mergeCell ref="C292:C293"/>
    <mergeCell ref="D292:F292"/>
    <mergeCell ref="G292:G293"/>
    <mergeCell ref="B337:Q337"/>
    <mergeCell ref="N350:Q350"/>
    <mergeCell ref="N351:Q351"/>
    <mergeCell ref="N352:Q352"/>
    <mergeCell ref="N353:Q353"/>
    <mergeCell ref="H324:M324"/>
    <mergeCell ref="N324:Q324"/>
    <mergeCell ref="B326:Q326"/>
    <mergeCell ref="A335:A336"/>
    <mergeCell ref="B335:B336"/>
    <mergeCell ref="C335:C336"/>
    <mergeCell ref="D335:F335"/>
    <mergeCell ref="G335:G336"/>
    <mergeCell ref="H335:M335"/>
    <mergeCell ref="N335:Q335"/>
    <mergeCell ref="A324:A325"/>
    <mergeCell ref="B324:B325"/>
    <mergeCell ref="C324:C325"/>
    <mergeCell ref="D324:F324"/>
    <mergeCell ref="G324:G325"/>
    <mergeCell ref="B369:Q369"/>
    <mergeCell ref="A367:A368"/>
    <mergeCell ref="B367:B368"/>
    <mergeCell ref="C367:C368"/>
    <mergeCell ref="D367:F367"/>
    <mergeCell ref="G367:G368"/>
    <mergeCell ref="H367:M367"/>
    <mergeCell ref="N367:Q367"/>
    <mergeCell ref="H357:M357"/>
    <mergeCell ref="N357:Q357"/>
    <mergeCell ref="B359:Q359"/>
    <mergeCell ref="A357:A358"/>
    <mergeCell ref="B357:B358"/>
    <mergeCell ref="C357:C358"/>
    <mergeCell ref="D357:F357"/>
    <mergeCell ref="G357:G358"/>
    <mergeCell ref="A386:A387"/>
    <mergeCell ref="B386:B387"/>
    <mergeCell ref="C386:C387"/>
    <mergeCell ref="A397:A398"/>
    <mergeCell ref="B397:B398"/>
    <mergeCell ref="C397:C398"/>
    <mergeCell ref="N381:Q381"/>
    <mergeCell ref="N382:Q382"/>
    <mergeCell ref="N383:Q383"/>
    <mergeCell ref="N384:Q384"/>
    <mergeCell ref="D397:F397"/>
    <mergeCell ref="G397:G398"/>
    <mergeCell ref="H397:M397"/>
    <mergeCell ref="N397:Q397"/>
    <mergeCell ref="B399:Q399"/>
    <mergeCell ref="D386:F386"/>
    <mergeCell ref="G386:G387"/>
    <mergeCell ref="H386:M386"/>
    <mergeCell ref="N386:Q386"/>
    <mergeCell ref="B388:Q388"/>
  </mergeCells>
  <pageMargins left="0.23622047244094491" right="0.23622047244094491" top="0.34531250000000002" bottom="0.74803149606299213" header="0.31496062992125984" footer="0.31496062992125984"/>
  <pageSetup paperSize="9" scale="83" orientation="landscape" horizontalDpi="4294967292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O1" sqref="O1:O2"/>
    </sheetView>
  </sheetViews>
  <sheetFormatPr defaultRowHeight="15" x14ac:dyDescent="0.25"/>
  <cols>
    <col min="1" max="1" width="4" customWidth="1"/>
    <col min="2" max="2" width="29" customWidth="1"/>
    <col min="4" max="4" width="6.5703125" customWidth="1"/>
    <col min="5" max="5" width="6.7109375" customWidth="1"/>
    <col min="6" max="6" width="7.28515625" customWidth="1"/>
    <col min="7" max="7" width="6.5703125" customWidth="1"/>
    <col min="8" max="9" width="7" customWidth="1"/>
    <col min="10" max="10" width="6.42578125" customWidth="1"/>
    <col min="11" max="11" width="7" customWidth="1"/>
    <col min="12" max="12" width="6.7109375" customWidth="1"/>
    <col min="14" max="14" width="10.42578125" customWidth="1"/>
    <col min="15" max="15" width="12.42578125" customWidth="1"/>
  </cols>
  <sheetData>
    <row r="1" spans="1:15" ht="38.25" customHeight="1" x14ac:dyDescent="0.25">
      <c r="A1" s="58" t="s">
        <v>25</v>
      </c>
      <c r="B1" s="58" t="s">
        <v>26</v>
      </c>
      <c r="C1" s="58" t="s">
        <v>27</v>
      </c>
      <c r="D1" s="60" t="s">
        <v>28</v>
      </c>
      <c r="E1" s="61"/>
      <c r="F1" s="61"/>
      <c r="G1" s="61"/>
      <c r="H1" s="61"/>
      <c r="I1" s="61"/>
      <c r="J1" s="61"/>
      <c r="K1" s="61"/>
      <c r="L1" s="61"/>
      <c r="M1" s="62"/>
      <c r="N1" s="58" t="s">
        <v>29</v>
      </c>
      <c r="O1" s="58" t="s">
        <v>30</v>
      </c>
    </row>
    <row r="2" spans="1:15" x14ac:dyDescent="0.25">
      <c r="A2" s="59"/>
      <c r="B2" s="59"/>
      <c r="C2" s="59"/>
      <c r="D2" s="20">
        <v>1</v>
      </c>
      <c r="E2" s="20">
        <v>2</v>
      </c>
      <c r="F2" s="20">
        <v>3</v>
      </c>
      <c r="G2" s="20">
        <v>4</v>
      </c>
      <c r="H2" s="20">
        <v>5</v>
      </c>
      <c r="I2" s="20">
        <v>6</v>
      </c>
      <c r="J2" s="20">
        <v>7</v>
      </c>
      <c r="K2" s="20">
        <v>8</v>
      </c>
      <c r="L2" s="20">
        <v>9</v>
      </c>
      <c r="M2" s="20">
        <v>10</v>
      </c>
      <c r="N2" s="59"/>
      <c r="O2" s="59"/>
    </row>
    <row r="3" spans="1:15" x14ac:dyDescent="0.25">
      <c r="A3" s="22">
        <v>1</v>
      </c>
      <c r="B3" s="23" t="s">
        <v>20</v>
      </c>
      <c r="C3" s="25">
        <v>75</v>
      </c>
      <c r="D3" s="26">
        <v>30</v>
      </c>
      <c r="E3" s="26">
        <f>44.3</f>
        <v>44.3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30</v>
      </c>
      <c r="M3" s="26">
        <v>44.3</v>
      </c>
      <c r="N3" s="27">
        <f>SUM(D3:M3)/10</f>
        <v>32.86</v>
      </c>
      <c r="O3" s="28" t="s">
        <v>114</v>
      </c>
    </row>
    <row r="4" spans="1:15" x14ac:dyDescent="0.25">
      <c r="A4" s="22">
        <v>2</v>
      </c>
      <c r="B4" s="23" t="s">
        <v>31</v>
      </c>
      <c r="C4" s="25">
        <v>7</v>
      </c>
      <c r="D4" s="26">
        <v>0</v>
      </c>
      <c r="E4" s="26">
        <f>1.25</f>
        <v>1.25</v>
      </c>
      <c r="F4" s="26">
        <v>0</v>
      </c>
      <c r="G4" s="26">
        <f>2.5+4.4</f>
        <v>6.9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2.5</v>
      </c>
      <c r="N4" s="27">
        <f t="shared" ref="N4:N20" si="0">SUM(D4:M4)/10</f>
        <v>1.0649999999999999</v>
      </c>
      <c r="O4" s="28" t="s">
        <v>115</v>
      </c>
    </row>
    <row r="5" spans="1:15" ht="25.5" x14ac:dyDescent="0.25">
      <c r="A5" s="22">
        <v>3</v>
      </c>
      <c r="B5" s="23" t="s">
        <v>41</v>
      </c>
      <c r="C5" s="25">
        <v>81</v>
      </c>
      <c r="D5" s="26">
        <v>16</v>
      </c>
      <c r="E5" s="26">
        <f>69</f>
        <v>69</v>
      </c>
      <c r="F5" s="26">
        <f>50</f>
        <v>50</v>
      </c>
      <c r="G5" s="26">
        <v>0</v>
      </c>
      <c r="H5" s="26">
        <f>12.9</f>
        <v>12.9</v>
      </c>
      <c r="I5" s="26">
        <f>54</f>
        <v>54</v>
      </c>
      <c r="J5" s="26">
        <f>50</f>
        <v>50</v>
      </c>
      <c r="K5" s="26">
        <f>56.63</f>
        <v>56.63</v>
      </c>
      <c r="L5" s="26">
        <v>0</v>
      </c>
      <c r="M5" s="26">
        <f>51</f>
        <v>51</v>
      </c>
      <c r="N5" s="27">
        <f t="shared" si="0"/>
        <v>35.953000000000003</v>
      </c>
      <c r="O5" s="28" t="s">
        <v>127</v>
      </c>
    </row>
    <row r="6" spans="1:15" x14ac:dyDescent="0.25">
      <c r="A6" s="22">
        <v>4</v>
      </c>
      <c r="B6" s="23" t="s">
        <v>32</v>
      </c>
      <c r="C6" s="25">
        <v>171</v>
      </c>
      <c r="D6" s="26">
        <v>0</v>
      </c>
      <c r="E6" s="26">
        <v>0</v>
      </c>
      <c r="F6" s="26">
        <v>0</v>
      </c>
      <c r="G6" s="26">
        <f>171.4</f>
        <v>171.4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7">
        <f t="shared" si="0"/>
        <v>17.14</v>
      </c>
      <c r="O6" s="28" t="s">
        <v>95</v>
      </c>
    </row>
    <row r="7" spans="1:15" x14ac:dyDescent="0.25">
      <c r="A7" s="22">
        <v>5</v>
      </c>
      <c r="B7" s="23" t="s">
        <v>42</v>
      </c>
      <c r="C7" s="25">
        <v>76</v>
      </c>
      <c r="D7" s="26">
        <v>0</v>
      </c>
      <c r="E7" s="26">
        <v>0</v>
      </c>
      <c r="F7" s="26">
        <v>0</v>
      </c>
      <c r="G7" s="26">
        <f>2.25</f>
        <v>2.25</v>
      </c>
      <c r="H7" s="26">
        <v>0</v>
      </c>
      <c r="I7" s="26">
        <f>20+25.6</f>
        <v>45.6</v>
      </c>
      <c r="J7" s="26">
        <v>0</v>
      </c>
      <c r="K7" s="26">
        <f>16.75+10.5</f>
        <v>27.25</v>
      </c>
      <c r="L7" s="26">
        <f>80.63</f>
        <v>80.63</v>
      </c>
      <c r="M7" s="26">
        <f>4.5+2.25</f>
        <v>6.75</v>
      </c>
      <c r="N7" s="27">
        <f t="shared" si="0"/>
        <v>16.247999999999998</v>
      </c>
      <c r="O7" s="28" t="s">
        <v>116</v>
      </c>
    </row>
    <row r="8" spans="1:15" x14ac:dyDescent="0.25">
      <c r="A8" s="22">
        <v>6</v>
      </c>
      <c r="B8" s="23" t="s">
        <v>98</v>
      </c>
      <c r="C8" s="25">
        <v>60</v>
      </c>
      <c r="D8" s="26">
        <f>75</f>
        <v>75</v>
      </c>
      <c r="E8" s="26">
        <v>0</v>
      </c>
      <c r="F8" s="26">
        <v>75</v>
      </c>
      <c r="G8" s="26">
        <v>8</v>
      </c>
      <c r="H8" s="26">
        <v>75</v>
      </c>
      <c r="I8" s="26">
        <v>200</v>
      </c>
      <c r="J8" s="26">
        <v>75</v>
      </c>
      <c r="K8" s="26">
        <v>8</v>
      </c>
      <c r="L8" s="26">
        <v>0</v>
      </c>
      <c r="M8" s="26">
        <v>0</v>
      </c>
      <c r="N8" s="27">
        <f t="shared" si="0"/>
        <v>51.6</v>
      </c>
      <c r="O8" s="28" t="s">
        <v>117</v>
      </c>
    </row>
    <row r="9" spans="1:15" x14ac:dyDescent="0.25">
      <c r="A9" s="22">
        <v>7</v>
      </c>
      <c r="B9" s="23" t="s">
        <v>33</v>
      </c>
      <c r="C9" s="25">
        <v>1</v>
      </c>
      <c r="D9" s="26">
        <v>0</v>
      </c>
      <c r="E9" s="26">
        <v>0</v>
      </c>
      <c r="F9" s="26">
        <f>10.2</f>
        <v>10.199999999999999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7">
        <f t="shared" si="0"/>
        <v>1.02</v>
      </c>
      <c r="O9" s="28" t="s">
        <v>96</v>
      </c>
    </row>
    <row r="10" spans="1:15" x14ac:dyDescent="0.25">
      <c r="A10" s="22">
        <v>8</v>
      </c>
      <c r="B10" s="23" t="s">
        <v>43</v>
      </c>
      <c r="C10" s="25">
        <v>127</v>
      </c>
      <c r="D10" s="26">
        <v>0</v>
      </c>
      <c r="E10" s="26">
        <f>72.9</f>
        <v>72.900000000000006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f>150.75</f>
        <v>150.75</v>
      </c>
      <c r="L10" s="26">
        <v>0</v>
      </c>
      <c r="M10" s="26">
        <f>72.9</f>
        <v>72.900000000000006</v>
      </c>
      <c r="N10" s="27">
        <f t="shared" si="0"/>
        <v>29.655000000000001</v>
      </c>
      <c r="O10" s="28" t="s">
        <v>118</v>
      </c>
    </row>
    <row r="11" spans="1:15" x14ac:dyDescent="0.25">
      <c r="A11" s="22">
        <v>9</v>
      </c>
      <c r="B11" s="23" t="s">
        <v>34</v>
      </c>
      <c r="C11" s="25">
        <v>51</v>
      </c>
      <c r="D11" s="26">
        <v>0</v>
      </c>
      <c r="E11" s="26">
        <v>0</v>
      </c>
      <c r="F11" s="26">
        <v>0</v>
      </c>
      <c r="G11" s="26">
        <f>93.6</f>
        <v>93.6</v>
      </c>
      <c r="H11" s="26">
        <v>0</v>
      </c>
      <c r="I11" s="26">
        <f>72.3</f>
        <v>72.3</v>
      </c>
      <c r="J11" s="26">
        <v>0</v>
      </c>
      <c r="K11" s="26">
        <v>0</v>
      </c>
      <c r="L11" s="26">
        <v>0</v>
      </c>
      <c r="M11" s="26">
        <v>0</v>
      </c>
      <c r="N11" s="27">
        <f t="shared" si="0"/>
        <v>16.589999999999996</v>
      </c>
      <c r="O11" s="28" t="s">
        <v>102</v>
      </c>
    </row>
    <row r="12" spans="1:15" ht="38.25" x14ac:dyDescent="0.25">
      <c r="A12" s="22">
        <v>10</v>
      </c>
      <c r="B12" s="23" t="s">
        <v>44</v>
      </c>
      <c r="C12" s="25">
        <v>85</v>
      </c>
      <c r="D12" s="26">
        <f>140+100</f>
        <v>240</v>
      </c>
      <c r="E12" s="26">
        <f>17.3</f>
        <v>17.3</v>
      </c>
      <c r="F12" s="26">
        <f>100+50</f>
        <v>150</v>
      </c>
      <c r="G12" s="26">
        <f>24</f>
        <v>24</v>
      </c>
      <c r="H12" s="26">
        <v>0</v>
      </c>
      <c r="I12" s="26">
        <v>0</v>
      </c>
      <c r="J12" s="26">
        <f>104+130</f>
        <v>234</v>
      </c>
      <c r="K12" s="26">
        <v>0</v>
      </c>
      <c r="L12" s="26">
        <f>80.63+100</f>
        <v>180.63</v>
      </c>
      <c r="M12" s="26">
        <f>17.3+50</f>
        <v>67.3</v>
      </c>
      <c r="N12" s="27">
        <f t="shared" si="0"/>
        <v>91.322999999999993</v>
      </c>
      <c r="O12" s="28" t="s">
        <v>126</v>
      </c>
    </row>
    <row r="13" spans="1:15" x14ac:dyDescent="0.25">
      <c r="A13" s="22">
        <v>11</v>
      </c>
      <c r="B13" s="23" t="s">
        <v>35</v>
      </c>
      <c r="C13" s="25">
        <v>10</v>
      </c>
      <c r="D13" s="26">
        <v>0</v>
      </c>
      <c r="E13" s="26">
        <v>0</v>
      </c>
      <c r="F13" s="26">
        <v>0</v>
      </c>
      <c r="G13" s="26">
        <v>0</v>
      </c>
      <c r="H13" s="26">
        <f>186</f>
        <v>186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7">
        <f t="shared" si="0"/>
        <v>18.600000000000001</v>
      </c>
      <c r="O13" s="28" t="s">
        <v>97</v>
      </c>
    </row>
    <row r="14" spans="1:15" x14ac:dyDescent="0.25">
      <c r="A14" s="22">
        <v>12</v>
      </c>
      <c r="B14" s="23" t="s">
        <v>45</v>
      </c>
      <c r="C14" s="25">
        <v>4.5</v>
      </c>
      <c r="D14" s="26">
        <v>0</v>
      </c>
      <c r="E14" s="26">
        <v>0</v>
      </c>
      <c r="F14" s="26">
        <f>30</f>
        <v>30</v>
      </c>
      <c r="G14" s="26">
        <f>5.7</f>
        <v>5.7</v>
      </c>
      <c r="H14" s="26">
        <v>0</v>
      </c>
      <c r="I14" s="26">
        <v>0</v>
      </c>
      <c r="J14" s="26">
        <f>30</f>
        <v>30</v>
      </c>
      <c r="K14" s="26">
        <v>0</v>
      </c>
      <c r="L14" s="26">
        <v>0</v>
      </c>
      <c r="M14" s="26">
        <v>0</v>
      </c>
      <c r="N14" s="27">
        <f t="shared" si="0"/>
        <v>6.57</v>
      </c>
      <c r="O14" s="28" t="s">
        <v>103</v>
      </c>
    </row>
    <row r="15" spans="1:15" x14ac:dyDescent="0.25">
      <c r="A15" s="22">
        <v>13</v>
      </c>
      <c r="B15" s="23" t="s">
        <v>36</v>
      </c>
      <c r="C15" s="25">
        <v>6</v>
      </c>
      <c r="D15" s="26">
        <v>0</v>
      </c>
      <c r="E15" s="26">
        <f>25</f>
        <v>25</v>
      </c>
      <c r="F15" s="26">
        <v>0</v>
      </c>
      <c r="G15" s="26">
        <f>47</f>
        <v>47</v>
      </c>
      <c r="H15" s="26">
        <f>6.9</f>
        <v>6.9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7">
        <f t="shared" si="0"/>
        <v>7.8900000000000006</v>
      </c>
      <c r="O15" s="28" t="s">
        <v>119</v>
      </c>
    </row>
    <row r="16" spans="1:15" x14ac:dyDescent="0.25">
      <c r="A16" s="22">
        <v>14</v>
      </c>
      <c r="B16" s="23" t="s">
        <v>37</v>
      </c>
      <c r="C16" s="25">
        <v>17.5</v>
      </c>
      <c r="D16" s="26">
        <f>2+10</f>
        <v>12</v>
      </c>
      <c r="E16" s="26">
        <f>6.8+5.3+1.25</f>
        <v>13.35</v>
      </c>
      <c r="F16" s="26">
        <f>10</f>
        <v>10</v>
      </c>
      <c r="G16" s="26">
        <f>6.8+2.5+4.7</f>
        <v>14</v>
      </c>
      <c r="H16" s="26">
        <f>6.9+10</f>
        <v>16.899999999999999</v>
      </c>
      <c r="I16" s="26">
        <f>6.8</f>
        <v>6.8</v>
      </c>
      <c r="J16" s="26">
        <f>10</f>
        <v>10</v>
      </c>
      <c r="K16" s="26">
        <v>0</v>
      </c>
      <c r="L16" s="26">
        <f>16.13+20</f>
        <v>36.129999999999995</v>
      </c>
      <c r="M16" s="26">
        <f>6.8+5.3+1.5</f>
        <v>13.6</v>
      </c>
      <c r="N16" s="27">
        <f t="shared" si="0"/>
        <v>13.278</v>
      </c>
      <c r="O16" s="28" t="s">
        <v>125</v>
      </c>
    </row>
    <row r="17" spans="1:15" x14ac:dyDescent="0.25">
      <c r="A17" s="22">
        <v>15</v>
      </c>
      <c r="B17" s="23" t="s">
        <v>38</v>
      </c>
      <c r="C17" s="25">
        <v>9.5</v>
      </c>
      <c r="D17" s="26">
        <v>0</v>
      </c>
      <c r="E17" s="26">
        <v>0</v>
      </c>
      <c r="F17" s="26">
        <v>0</v>
      </c>
      <c r="G17" s="26">
        <f>7.1</f>
        <v>7.1</v>
      </c>
      <c r="H17" s="26">
        <v>0</v>
      </c>
      <c r="I17" s="26">
        <f>5.6</f>
        <v>5.6</v>
      </c>
      <c r="J17" s="26">
        <v>0</v>
      </c>
      <c r="K17" s="26">
        <f>8.38</f>
        <v>8.3800000000000008</v>
      </c>
      <c r="L17" s="26">
        <v>0</v>
      </c>
      <c r="M17" s="26">
        <v>0</v>
      </c>
      <c r="N17" s="27">
        <f t="shared" si="0"/>
        <v>2.1079999999999997</v>
      </c>
      <c r="O17" s="28" t="s">
        <v>120</v>
      </c>
    </row>
    <row r="18" spans="1:15" x14ac:dyDescent="0.25">
      <c r="A18" s="22">
        <v>16</v>
      </c>
      <c r="B18" s="23" t="s">
        <v>46</v>
      </c>
      <c r="C18" s="25">
        <v>12</v>
      </c>
      <c r="D18" s="26">
        <v>0</v>
      </c>
      <c r="E18" s="26">
        <v>0</v>
      </c>
      <c r="F18" s="26">
        <v>0</v>
      </c>
      <c r="G18" s="26">
        <v>0</v>
      </c>
      <c r="H18" s="26">
        <f>5.8</f>
        <v>5.8</v>
      </c>
      <c r="I18" s="26">
        <v>0</v>
      </c>
      <c r="J18" s="26">
        <v>0</v>
      </c>
      <c r="K18" s="26">
        <v>0</v>
      </c>
      <c r="L18" s="26">
        <f>142</f>
        <v>142</v>
      </c>
      <c r="M18" s="26">
        <v>0</v>
      </c>
      <c r="N18" s="27">
        <f t="shared" si="0"/>
        <v>14.780000000000001</v>
      </c>
      <c r="O18" s="28" t="s">
        <v>124</v>
      </c>
    </row>
    <row r="19" spans="1:15" x14ac:dyDescent="0.25">
      <c r="A19" s="22">
        <v>17</v>
      </c>
      <c r="B19" s="23" t="s">
        <v>39</v>
      </c>
      <c r="C19" s="25">
        <v>26</v>
      </c>
      <c r="D19" s="26">
        <f>7+1.6</f>
        <v>8.6</v>
      </c>
      <c r="E19" s="26">
        <v>7</v>
      </c>
      <c r="F19" s="26">
        <f>10</f>
        <v>10</v>
      </c>
      <c r="G19" s="26">
        <v>7</v>
      </c>
      <c r="H19" s="26">
        <f>12.9</f>
        <v>12.9</v>
      </c>
      <c r="I19" s="26">
        <v>7</v>
      </c>
      <c r="J19" s="26">
        <f>10</f>
        <v>10</v>
      </c>
      <c r="K19" s="26">
        <v>7</v>
      </c>
      <c r="L19" s="26">
        <v>7</v>
      </c>
      <c r="M19" s="26">
        <v>8.25</v>
      </c>
      <c r="N19" s="27">
        <f t="shared" si="0"/>
        <v>8.4749999999999996</v>
      </c>
      <c r="O19" s="28" t="s">
        <v>123</v>
      </c>
    </row>
    <row r="20" spans="1:15" x14ac:dyDescent="0.25">
      <c r="A20" s="22">
        <v>18</v>
      </c>
      <c r="B20" s="23" t="s">
        <v>47</v>
      </c>
      <c r="C20" s="25">
        <v>0.8</v>
      </c>
      <c r="D20" s="26">
        <f>5</f>
        <v>5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5</v>
      </c>
      <c r="K20" s="26">
        <v>1</v>
      </c>
      <c r="L20" s="26">
        <v>5</v>
      </c>
      <c r="M20" s="26">
        <v>1</v>
      </c>
      <c r="N20" s="27">
        <f t="shared" si="0"/>
        <v>2.2000000000000002</v>
      </c>
      <c r="O20" s="28" t="s">
        <v>99</v>
      </c>
    </row>
    <row r="21" spans="1:15" x14ac:dyDescent="0.25">
      <c r="A21" s="22">
        <v>19</v>
      </c>
      <c r="B21" s="23" t="s">
        <v>40</v>
      </c>
      <c r="C21" s="25">
        <v>3</v>
      </c>
      <c r="D21" s="26">
        <f>0.5+0.2</f>
        <v>0.7</v>
      </c>
      <c r="E21" s="26">
        <f>0.5+0.2</f>
        <v>0.7</v>
      </c>
      <c r="F21" s="26">
        <f>1</f>
        <v>1</v>
      </c>
      <c r="G21" s="26">
        <f>0.8</f>
        <v>0.8</v>
      </c>
      <c r="H21" s="26">
        <f>0.5</f>
        <v>0.5</v>
      </c>
      <c r="I21" s="26">
        <v>0.7</v>
      </c>
      <c r="J21" s="26">
        <f>1</f>
        <v>1</v>
      </c>
      <c r="K21" s="26">
        <f>0.5</f>
        <v>0.5</v>
      </c>
      <c r="L21" s="26">
        <f>0.63</f>
        <v>0.63</v>
      </c>
      <c r="M21" s="26">
        <f>0.7</f>
        <v>0.7</v>
      </c>
      <c r="N21" s="27">
        <f>SUM(D21:M21)/10</f>
        <v>0.72300000000000009</v>
      </c>
      <c r="O21" s="24">
        <v>-76</v>
      </c>
    </row>
  </sheetData>
  <mergeCells count="6">
    <mergeCell ref="O1:O2"/>
    <mergeCell ref="D1:M1"/>
    <mergeCell ref="A1:A2"/>
    <mergeCell ref="B1:B2"/>
    <mergeCell ref="C1:C2"/>
    <mergeCell ref="N1:N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6"/>
  <sheetViews>
    <sheetView tabSelected="1" view="pageLayout" topLeftCell="A208" zoomScale="75" zoomScaleNormal="100" zoomScalePageLayoutView="75" workbookViewId="0">
      <selection activeCell="B178" sqref="B178:B179"/>
    </sheetView>
  </sheetViews>
  <sheetFormatPr defaultRowHeight="15" x14ac:dyDescent="0.25"/>
  <cols>
    <col min="1" max="1" width="9.28515625" bestFit="1" customWidth="1"/>
    <col min="2" max="2" width="66" customWidth="1"/>
    <col min="3" max="3" width="23.42578125" customWidth="1"/>
    <col min="4" max="4" width="27.5703125" customWidth="1"/>
  </cols>
  <sheetData>
    <row r="1" spans="1:4" ht="25.5" x14ac:dyDescent="0.25">
      <c r="A1" s="91" t="s">
        <v>162</v>
      </c>
      <c r="B1" s="91"/>
      <c r="C1" s="91"/>
      <c r="D1" s="91"/>
    </row>
    <row r="2" spans="1:4" ht="15" customHeight="1" x14ac:dyDescent="0.25">
      <c r="A2" s="69" t="s">
        <v>25</v>
      </c>
      <c r="B2" s="69" t="s">
        <v>1</v>
      </c>
      <c r="C2" s="69" t="s">
        <v>2</v>
      </c>
      <c r="D2" s="69" t="s">
        <v>16</v>
      </c>
    </row>
    <row r="3" spans="1:4" ht="41.25" customHeight="1" x14ac:dyDescent="0.25">
      <c r="A3" s="70"/>
      <c r="B3" s="71"/>
      <c r="C3" s="71"/>
      <c r="D3" s="71"/>
    </row>
    <row r="4" spans="1:4" ht="26.25" x14ac:dyDescent="0.4">
      <c r="A4" s="72"/>
      <c r="B4" s="92" t="s">
        <v>142</v>
      </c>
      <c r="C4" s="93"/>
      <c r="D4" s="93"/>
    </row>
    <row r="5" spans="1:4" ht="36.75" customHeight="1" x14ac:dyDescent="0.25">
      <c r="A5" s="86">
        <v>1</v>
      </c>
      <c r="B5" s="65" t="s">
        <v>122</v>
      </c>
      <c r="C5" s="66">
        <v>200</v>
      </c>
      <c r="D5" s="66">
        <v>144.38</v>
      </c>
    </row>
    <row r="6" spans="1:4" ht="27" customHeight="1" x14ac:dyDescent="0.25">
      <c r="A6" s="86">
        <v>2</v>
      </c>
      <c r="B6" s="65" t="s">
        <v>50</v>
      </c>
      <c r="C6" s="66">
        <v>30</v>
      </c>
      <c r="D6" s="66">
        <v>57.9</v>
      </c>
    </row>
    <row r="7" spans="1:4" ht="36.75" customHeight="1" x14ac:dyDescent="0.25">
      <c r="A7" s="86">
        <v>3</v>
      </c>
      <c r="B7" s="67" t="s">
        <v>51</v>
      </c>
      <c r="C7" s="66">
        <v>10</v>
      </c>
      <c r="D7" s="66">
        <v>74.900000000000006</v>
      </c>
    </row>
    <row r="8" spans="1:4" ht="20.25" x14ac:dyDescent="0.3">
      <c r="A8" s="87">
        <v>4</v>
      </c>
      <c r="B8" s="67" t="s">
        <v>65</v>
      </c>
      <c r="C8" s="68">
        <v>200</v>
      </c>
      <c r="D8" s="68">
        <v>90.8</v>
      </c>
    </row>
    <row r="9" spans="1:4" ht="20.25" x14ac:dyDescent="0.25">
      <c r="A9" s="88">
        <v>5</v>
      </c>
      <c r="B9" s="67" t="s">
        <v>104</v>
      </c>
      <c r="C9" s="66">
        <v>75</v>
      </c>
      <c r="D9" s="66">
        <v>35.25</v>
      </c>
    </row>
    <row r="10" spans="1:4" ht="20.25" x14ac:dyDescent="0.25">
      <c r="A10" s="89"/>
      <c r="B10" s="82" t="s">
        <v>18</v>
      </c>
      <c r="C10" s="66">
        <f>SUM(C5:C9)</f>
        <v>515</v>
      </c>
      <c r="D10" s="66">
        <f t="shared" ref="D10" si="0">SUM(D5:D9)</f>
        <v>403.23</v>
      </c>
    </row>
    <row r="12" spans="1:4" ht="26.25" x14ac:dyDescent="0.4">
      <c r="A12" s="72"/>
      <c r="B12" s="92" t="s">
        <v>141</v>
      </c>
      <c r="C12" s="93"/>
      <c r="D12" s="93"/>
    </row>
    <row r="13" spans="1:4" ht="20.25" x14ac:dyDescent="0.25">
      <c r="A13" s="86">
        <v>1</v>
      </c>
      <c r="B13" s="65" t="s">
        <v>122</v>
      </c>
      <c r="C13" s="66">
        <v>260</v>
      </c>
      <c r="D13" s="66">
        <v>144.38</v>
      </c>
    </row>
    <row r="14" spans="1:4" ht="20.25" x14ac:dyDescent="0.25">
      <c r="A14" s="86">
        <v>2</v>
      </c>
      <c r="B14" s="65" t="s">
        <v>50</v>
      </c>
      <c r="C14" s="66">
        <v>30</v>
      </c>
      <c r="D14" s="66">
        <v>57.9</v>
      </c>
    </row>
    <row r="15" spans="1:4" ht="20.25" x14ac:dyDescent="0.25">
      <c r="A15" s="86">
        <v>3</v>
      </c>
      <c r="B15" s="67" t="s">
        <v>51</v>
      </c>
      <c r="C15" s="66">
        <v>10</v>
      </c>
      <c r="D15" s="66">
        <v>74.900000000000006</v>
      </c>
    </row>
    <row r="16" spans="1:4" ht="20.25" x14ac:dyDescent="0.3">
      <c r="A16" s="87">
        <v>4</v>
      </c>
      <c r="B16" s="67" t="s">
        <v>65</v>
      </c>
      <c r="C16" s="68">
        <v>200</v>
      </c>
      <c r="D16" s="68">
        <v>90.8</v>
      </c>
    </row>
    <row r="17" spans="1:4" ht="20.25" x14ac:dyDescent="0.25">
      <c r="A17" s="89"/>
      <c r="B17" s="82" t="s">
        <v>18</v>
      </c>
      <c r="C17" s="66">
        <f>SUM(C13:C16)</f>
        <v>500</v>
      </c>
      <c r="D17" s="66">
        <f>SUM(D13:D16)</f>
        <v>367.98</v>
      </c>
    </row>
    <row r="19" spans="1:4" x14ac:dyDescent="0.25">
      <c r="C19" s="75"/>
      <c r="D19" s="76"/>
    </row>
    <row r="20" spans="1:4" x14ac:dyDescent="0.25">
      <c r="C20" s="76"/>
      <c r="D20" s="76"/>
    </row>
    <row r="21" spans="1:4" x14ac:dyDescent="0.25">
      <c r="C21" s="76"/>
      <c r="D21" s="76"/>
    </row>
    <row r="22" spans="1:4" ht="25.5" x14ac:dyDescent="0.25">
      <c r="A22" s="94" t="s">
        <v>154</v>
      </c>
      <c r="B22" s="91"/>
      <c r="C22" s="91"/>
      <c r="D22" s="91"/>
    </row>
    <row r="23" spans="1:4" x14ac:dyDescent="0.25">
      <c r="A23" s="84" t="s">
        <v>25</v>
      </c>
      <c r="B23" s="69" t="s">
        <v>1</v>
      </c>
      <c r="C23" s="69" t="s">
        <v>2</v>
      </c>
      <c r="D23" s="69" t="s">
        <v>16</v>
      </c>
    </row>
    <row r="24" spans="1:4" ht="24" customHeight="1" x14ac:dyDescent="0.25">
      <c r="A24" s="85"/>
      <c r="B24" s="71"/>
      <c r="C24" s="71"/>
      <c r="D24" s="71"/>
    </row>
    <row r="25" spans="1:4" ht="26.25" x14ac:dyDescent="0.4">
      <c r="A25" s="72"/>
      <c r="B25" s="92" t="s">
        <v>142</v>
      </c>
      <c r="C25" s="93"/>
      <c r="D25" s="93"/>
    </row>
    <row r="26" spans="1:4" ht="20.25" x14ac:dyDescent="0.3">
      <c r="A26" s="86">
        <v>1</v>
      </c>
      <c r="B26" s="77" t="s">
        <v>129</v>
      </c>
      <c r="C26" s="78">
        <v>60</v>
      </c>
      <c r="D26" s="78">
        <v>45.7</v>
      </c>
    </row>
    <row r="27" spans="1:4" ht="20.25" x14ac:dyDescent="0.3">
      <c r="A27" s="86">
        <v>2</v>
      </c>
      <c r="B27" s="77" t="s">
        <v>22</v>
      </c>
      <c r="C27" s="78">
        <v>150</v>
      </c>
      <c r="D27" s="78">
        <v>262.5</v>
      </c>
    </row>
    <row r="28" spans="1:4" ht="20.25" x14ac:dyDescent="0.3">
      <c r="A28" s="86">
        <v>3</v>
      </c>
      <c r="B28" s="65" t="s">
        <v>101</v>
      </c>
      <c r="C28" s="79">
        <v>75</v>
      </c>
      <c r="D28" s="68">
        <v>209</v>
      </c>
    </row>
    <row r="29" spans="1:4" ht="20.25" x14ac:dyDescent="0.3">
      <c r="A29" s="87">
        <v>4</v>
      </c>
      <c r="B29" s="65" t="s">
        <v>52</v>
      </c>
      <c r="C29" s="66">
        <v>50</v>
      </c>
      <c r="D29" s="66">
        <v>47.6</v>
      </c>
    </row>
    <row r="30" spans="1:4" ht="20.25" x14ac:dyDescent="0.3">
      <c r="A30" s="88">
        <v>5</v>
      </c>
      <c r="B30" s="67" t="s">
        <v>53</v>
      </c>
      <c r="C30" s="68">
        <v>200</v>
      </c>
      <c r="D30" s="68">
        <v>26.4</v>
      </c>
    </row>
    <row r="31" spans="1:4" ht="20.25" x14ac:dyDescent="0.25">
      <c r="A31" s="89">
        <v>6</v>
      </c>
      <c r="B31" s="65" t="s">
        <v>50</v>
      </c>
      <c r="C31" s="66">
        <v>30</v>
      </c>
      <c r="D31" s="66">
        <v>57.9</v>
      </c>
    </row>
    <row r="32" spans="1:4" ht="21" x14ac:dyDescent="0.35">
      <c r="A32" s="90"/>
      <c r="B32" s="83" t="s">
        <v>18</v>
      </c>
      <c r="C32" s="68">
        <f t="shared" ref="C32:D32" si="1">SUM(C27:C31)</f>
        <v>505</v>
      </c>
      <c r="D32" s="68">
        <f t="shared" si="1"/>
        <v>603.4</v>
      </c>
    </row>
    <row r="33" spans="1:4" ht="21" x14ac:dyDescent="0.35">
      <c r="A33" s="80"/>
      <c r="B33" s="80"/>
      <c r="C33" s="80"/>
      <c r="D33" s="80"/>
    </row>
    <row r="34" spans="1:4" ht="26.25" x14ac:dyDescent="0.4">
      <c r="A34" s="72"/>
      <c r="B34" s="92" t="s">
        <v>141</v>
      </c>
      <c r="C34" s="93"/>
      <c r="D34" s="93"/>
    </row>
    <row r="35" spans="1:4" ht="20.25" x14ac:dyDescent="0.3">
      <c r="A35" s="86">
        <v>1</v>
      </c>
      <c r="B35" s="77" t="s">
        <v>22</v>
      </c>
      <c r="C35" s="78">
        <v>150</v>
      </c>
      <c r="D35" s="78">
        <v>262.5</v>
      </c>
    </row>
    <row r="36" spans="1:4" ht="20.25" x14ac:dyDescent="0.3">
      <c r="A36" s="86">
        <v>2</v>
      </c>
      <c r="B36" s="65" t="s">
        <v>101</v>
      </c>
      <c r="C36" s="79">
        <v>75</v>
      </c>
      <c r="D36" s="68">
        <v>209</v>
      </c>
    </row>
    <row r="37" spans="1:4" ht="20.25" x14ac:dyDescent="0.3">
      <c r="A37" s="87">
        <v>3</v>
      </c>
      <c r="B37" s="65" t="s">
        <v>52</v>
      </c>
      <c r="C37" s="66">
        <v>50</v>
      </c>
      <c r="D37" s="66">
        <v>47.6</v>
      </c>
    </row>
    <row r="38" spans="1:4" ht="20.25" x14ac:dyDescent="0.3">
      <c r="A38" s="88">
        <v>4</v>
      </c>
      <c r="B38" s="67" t="s">
        <v>53</v>
      </c>
      <c r="C38" s="68">
        <v>200</v>
      </c>
      <c r="D38" s="68">
        <v>26.4</v>
      </c>
    </row>
    <row r="39" spans="1:4" ht="20.25" x14ac:dyDescent="0.25">
      <c r="A39" s="89">
        <v>5</v>
      </c>
      <c r="B39" s="65" t="s">
        <v>50</v>
      </c>
      <c r="C39" s="66">
        <v>30</v>
      </c>
      <c r="D39" s="66">
        <v>57.9</v>
      </c>
    </row>
    <row r="40" spans="1:4" ht="21" x14ac:dyDescent="0.35">
      <c r="A40" s="90"/>
      <c r="B40" s="83" t="s">
        <v>18</v>
      </c>
      <c r="C40" s="68">
        <f t="shared" ref="C40:D40" si="2">SUM(C35:C39)</f>
        <v>505</v>
      </c>
      <c r="D40" s="68">
        <f t="shared" si="2"/>
        <v>603.4</v>
      </c>
    </row>
    <row r="41" spans="1:4" x14ac:dyDescent="0.25">
      <c r="B41" s="81"/>
    </row>
    <row r="42" spans="1:4" x14ac:dyDescent="0.25">
      <c r="B42" s="81"/>
    </row>
    <row r="43" spans="1:4" x14ac:dyDescent="0.25">
      <c r="B43" s="81"/>
    </row>
    <row r="44" spans="1:4" x14ac:dyDescent="0.25">
      <c r="C44" s="74"/>
      <c r="D44" s="74"/>
    </row>
    <row r="45" spans="1:4" ht="25.5" x14ac:dyDescent="0.25">
      <c r="A45" s="94" t="s">
        <v>155</v>
      </c>
      <c r="B45" s="91"/>
      <c r="C45" s="91"/>
      <c r="D45" s="91"/>
    </row>
    <row r="46" spans="1:4" x14ac:dyDescent="0.25">
      <c r="A46" s="84" t="s">
        <v>25</v>
      </c>
      <c r="B46" s="69" t="s">
        <v>1</v>
      </c>
      <c r="C46" s="69" t="s">
        <v>2</v>
      </c>
      <c r="D46" s="69" t="s">
        <v>16</v>
      </c>
    </row>
    <row r="47" spans="1:4" ht="26.25" customHeight="1" x14ac:dyDescent="0.25">
      <c r="A47" s="85"/>
      <c r="B47" s="71"/>
      <c r="C47" s="71"/>
      <c r="D47" s="71"/>
    </row>
    <row r="48" spans="1:4" ht="26.25" x14ac:dyDescent="0.4">
      <c r="A48" s="72"/>
      <c r="B48" s="92" t="s">
        <v>142</v>
      </c>
      <c r="C48" s="93"/>
      <c r="D48" s="93"/>
    </row>
    <row r="49" spans="1:4" ht="20.25" x14ac:dyDescent="0.3">
      <c r="A49" s="86">
        <v>1</v>
      </c>
      <c r="B49" s="77" t="s">
        <v>55</v>
      </c>
      <c r="C49" s="78">
        <v>30</v>
      </c>
      <c r="D49" s="78">
        <v>109.1</v>
      </c>
    </row>
    <row r="50" spans="1:4" ht="20.25" x14ac:dyDescent="0.3">
      <c r="A50" s="86">
        <v>2</v>
      </c>
      <c r="B50" s="65" t="s">
        <v>56</v>
      </c>
      <c r="C50" s="68">
        <v>210</v>
      </c>
      <c r="D50" s="68">
        <v>320.7</v>
      </c>
    </row>
    <row r="51" spans="1:4" ht="20.25" x14ac:dyDescent="0.25">
      <c r="A51" s="86">
        <v>3</v>
      </c>
      <c r="B51" s="65" t="s">
        <v>92</v>
      </c>
      <c r="C51" s="66">
        <v>200</v>
      </c>
      <c r="D51" s="66">
        <v>52.9</v>
      </c>
    </row>
    <row r="52" spans="1:4" ht="20.25" x14ac:dyDescent="0.3">
      <c r="A52" s="87">
        <v>4</v>
      </c>
      <c r="B52" s="65" t="s">
        <v>50</v>
      </c>
      <c r="C52" s="66">
        <v>30</v>
      </c>
      <c r="D52" s="66">
        <v>57.9</v>
      </c>
    </row>
    <row r="53" spans="1:4" ht="20.25" x14ac:dyDescent="0.3">
      <c r="A53" s="88">
        <v>5</v>
      </c>
      <c r="B53" s="67" t="s">
        <v>106</v>
      </c>
      <c r="C53" s="68">
        <v>200</v>
      </c>
      <c r="D53" s="68">
        <v>174.4</v>
      </c>
    </row>
    <row r="54" spans="1:4" ht="21" x14ac:dyDescent="0.35">
      <c r="A54" s="90"/>
      <c r="B54" s="83" t="s">
        <v>18</v>
      </c>
      <c r="C54" s="68">
        <f>SUM(C50:C53)</f>
        <v>640</v>
      </c>
      <c r="D54" s="68">
        <f t="shared" ref="D54" si="3">SUM(D49:D53)</f>
        <v>714.99999999999989</v>
      </c>
    </row>
    <row r="57" spans="1:4" ht="26.25" x14ac:dyDescent="0.4">
      <c r="A57" s="72"/>
      <c r="B57" s="92" t="s">
        <v>141</v>
      </c>
      <c r="C57" s="93"/>
      <c r="D57" s="93"/>
    </row>
    <row r="58" spans="1:4" ht="20.25" x14ac:dyDescent="0.3">
      <c r="A58" s="86">
        <v>1</v>
      </c>
      <c r="B58" s="77" t="s">
        <v>55</v>
      </c>
      <c r="C58" s="78">
        <v>30</v>
      </c>
      <c r="D58" s="78">
        <v>109.1</v>
      </c>
    </row>
    <row r="59" spans="1:4" ht="20.25" x14ac:dyDescent="0.3">
      <c r="A59" s="86">
        <v>2</v>
      </c>
      <c r="B59" s="65" t="s">
        <v>56</v>
      </c>
      <c r="C59" s="68">
        <v>250</v>
      </c>
      <c r="D59" s="68">
        <v>320.7</v>
      </c>
    </row>
    <row r="60" spans="1:4" ht="20.25" x14ac:dyDescent="0.25">
      <c r="A60" s="86">
        <v>3</v>
      </c>
      <c r="B60" s="65" t="s">
        <v>92</v>
      </c>
      <c r="C60" s="66">
        <v>200</v>
      </c>
      <c r="D60" s="66">
        <v>52.9</v>
      </c>
    </row>
    <row r="61" spans="1:4" ht="20.25" x14ac:dyDescent="0.3">
      <c r="A61" s="87">
        <v>4</v>
      </c>
      <c r="B61" s="65" t="s">
        <v>50</v>
      </c>
      <c r="C61" s="66">
        <v>30</v>
      </c>
      <c r="D61" s="66">
        <v>57.9</v>
      </c>
    </row>
    <row r="62" spans="1:4" ht="20.25" x14ac:dyDescent="0.3">
      <c r="A62" s="88"/>
      <c r="B62" s="67"/>
      <c r="C62" s="68"/>
      <c r="D62" s="68"/>
    </row>
    <row r="63" spans="1:4" ht="21" x14ac:dyDescent="0.35">
      <c r="A63" s="90"/>
      <c r="B63" s="83"/>
      <c r="C63" s="68">
        <f>SUM(C59:C62)</f>
        <v>480</v>
      </c>
      <c r="D63" s="68">
        <f t="shared" ref="D63" si="4">SUM(D58:D62)</f>
        <v>540.59999999999991</v>
      </c>
    </row>
    <row r="69" spans="1:4" ht="25.5" x14ac:dyDescent="0.25">
      <c r="A69" s="94" t="s">
        <v>156</v>
      </c>
      <c r="B69" s="91"/>
      <c r="C69" s="91"/>
      <c r="D69" s="91"/>
    </row>
    <row r="70" spans="1:4" x14ac:dyDescent="0.25">
      <c r="A70" s="84" t="s">
        <v>25</v>
      </c>
      <c r="B70" s="69" t="s">
        <v>1</v>
      </c>
      <c r="C70" s="69" t="s">
        <v>2</v>
      </c>
      <c r="D70" s="69" t="s">
        <v>16</v>
      </c>
    </row>
    <row r="71" spans="1:4" ht="24.75" customHeight="1" x14ac:dyDescent="0.25">
      <c r="A71" s="85"/>
      <c r="B71" s="71"/>
      <c r="C71" s="71"/>
      <c r="D71" s="71"/>
    </row>
    <row r="72" spans="1:4" ht="26.25" x14ac:dyDescent="0.4">
      <c r="A72" s="72"/>
      <c r="B72" s="92" t="s">
        <v>142</v>
      </c>
      <c r="C72" s="93"/>
      <c r="D72" s="93"/>
    </row>
    <row r="73" spans="1:4" ht="20.25" x14ac:dyDescent="0.3">
      <c r="A73" s="86">
        <v>1</v>
      </c>
      <c r="B73" s="77" t="s">
        <v>131</v>
      </c>
      <c r="C73" s="78">
        <v>60</v>
      </c>
      <c r="D73" s="78">
        <v>66.099999999999994</v>
      </c>
    </row>
    <row r="74" spans="1:4" ht="20.25" x14ac:dyDescent="0.3">
      <c r="A74" s="86">
        <v>2</v>
      </c>
      <c r="B74" s="77" t="s">
        <v>58</v>
      </c>
      <c r="C74" s="78">
        <v>150</v>
      </c>
      <c r="D74" s="78">
        <v>158.30000000000001</v>
      </c>
    </row>
    <row r="75" spans="1:4" ht="20.25" x14ac:dyDescent="0.3">
      <c r="A75" s="86">
        <v>3</v>
      </c>
      <c r="B75" s="65" t="s">
        <v>59</v>
      </c>
      <c r="C75" s="68">
        <v>50</v>
      </c>
      <c r="D75" s="68">
        <v>32.75</v>
      </c>
    </row>
    <row r="76" spans="1:4" ht="20.25" x14ac:dyDescent="0.3">
      <c r="A76" s="87">
        <v>4</v>
      </c>
      <c r="B76" s="65" t="s">
        <v>111</v>
      </c>
      <c r="C76" s="66">
        <v>80</v>
      </c>
      <c r="D76" s="66">
        <v>257.89999999999998</v>
      </c>
    </row>
    <row r="77" spans="1:4" ht="20.25" x14ac:dyDescent="0.25">
      <c r="A77" s="88">
        <v>5</v>
      </c>
      <c r="B77" s="65" t="s">
        <v>50</v>
      </c>
      <c r="C77" s="66">
        <v>30</v>
      </c>
      <c r="D77" s="66">
        <v>57.9</v>
      </c>
    </row>
    <row r="78" spans="1:4" ht="20.25" x14ac:dyDescent="0.3">
      <c r="A78" s="89">
        <v>6</v>
      </c>
      <c r="B78" s="67" t="s">
        <v>90</v>
      </c>
      <c r="C78" s="68">
        <v>200</v>
      </c>
      <c r="D78" s="68">
        <v>27.6</v>
      </c>
    </row>
    <row r="79" spans="1:4" ht="21" x14ac:dyDescent="0.35">
      <c r="A79" s="90"/>
      <c r="B79" s="83" t="s">
        <v>18</v>
      </c>
      <c r="C79" s="68">
        <f t="shared" ref="C79:D79" si="5">SUM(C74:C78)</f>
        <v>510</v>
      </c>
      <c r="D79" s="68">
        <f t="shared" si="5"/>
        <v>534.44999999999993</v>
      </c>
    </row>
    <row r="81" spans="1:4" ht="26.25" x14ac:dyDescent="0.4">
      <c r="A81" s="72"/>
      <c r="B81" s="92" t="s">
        <v>141</v>
      </c>
      <c r="C81" s="93"/>
      <c r="D81" s="93"/>
    </row>
    <row r="82" spans="1:4" ht="20.25" x14ac:dyDescent="0.3">
      <c r="A82" s="86">
        <v>1</v>
      </c>
      <c r="B82" s="77" t="s">
        <v>58</v>
      </c>
      <c r="C82" s="78">
        <v>200</v>
      </c>
      <c r="D82" s="78">
        <v>158.30000000000001</v>
      </c>
    </row>
    <row r="83" spans="1:4" ht="20.25" x14ac:dyDescent="0.3">
      <c r="A83" s="86">
        <v>2</v>
      </c>
      <c r="B83" s="65" t="s">
        <v>59</v>
      </c>
      <c r="C83" s="68">
        <v>50</v>
      </c>
      <c r="D83" s="68">
        <v>32.75</v>
      </c>
    </row>
    <row r="84" spans="1:4" ht="20.25" x14ac:dyDescent="0.3">
      <c r="A84" s="87">
        <v>3</v>
      </c>
      <c r="B84" s="65" t="s">
        <v>111</v>
      </c>
      <c r="C84" s="66">
        <v>80</v>
      </c>
      <c r="D84" s="66">
        <v>257.89999999999998</v>
      </c>
    </row>
    <row r="85" spans="1:4" ht="20.25" x14ac:dyDescent="0.25">
      <c r="A85" s="88">
        <v>4</v>
      </c>
      <c r="B85" s="65" t="s">
        <v>50</v>
      </c>
      <c r="C85" s="66">
        <v>30</v>
      </c>
      <c r="D85" s="66">
        <v>57.9</v>
      </c>
    </row>
    <row r="86" spans="1:4" ht="20.25" x14ac:dyDescent="0.3">
      <c r="A86" s="89">
        <v>5</v>
      </c>
      <c r="B86" s="67" t="s">
        <v>90</v>
      </c>
      <c r="C86" s="68">
        <v>200</v>
      </c>
      <c r="D86" s="68">
        <v>27.6</v>
      </c>
    </row>
    <row r="87" spans="1:4" ht="21" x14ac:dyDescent="0.35">
      <c r="A87" s="90"/>
      <c r="B87" s="83" t="s">
        <v>18</v>
      </c>
      <c r="C87" s="68">
        <f t="shared" ref="C87:D87" si="6">SUM(C82:C86)</f>
        <v>560</v>
      </c>
      <c r="D87" s="68">
        <f t="shared" si="6"/>
        <v>534.44999999999993</v>
      </c>
    </row>
    <row r="91" spans="1:4" ht="25.5" x14ac:dyDescent="0.25">
      <c r="A91" s="94" t="s">
        <v>157</v>
      </c>
      <c r="B91" s="91"/>
      <c r="C91" s="91"/>
      <c r="D91" s="91"/>
    </row>
    <row r="92" spans="1:4" x14ac:dyDescent="0.25">
      <c r="A92" s="84" t="s">
        <v>25</v>
      </c>
      <c r="B92" s="69" t="s">
        <v>1</v>
      </c>
      <c r="C92" s="69" t="s">
        <v>2</v>
      </c>
      <c r="D92" s="69" t="s">
        <v>16</v>
      </c>
    </row>
    <row r="93" spans="1:4" ht="39.75" customHeight="1" x14ac:dyDescent="0.25">
      <c r="A93" s="85"/>
      <c r="B93" s="71"/>
      <c r="C93" s="71"/>
      <c r="D93" s="71"/>
    </row>
    <row r="94" spans="1:4" ht="26.25" x14ac:dyDescent="0.4">
      <c r="A94" s="72"/>
      <c r="B94" s="92" t="s">
        <v>142</v>
      </c>
      <c r="C94" s="93"/>
      <c r="D94" s="93"/>
    </row>
    <row r="95" spans="1:4" ht="20.25" x14ac:dyDescent="0.3">
      <c r="A95" s="86">
        <v>1</v>
      </c>
      <c r="B95" s="77" t="s">
        <v>23</v>
      </c>
      <c r="C95" s="78">
        <v>250</v>
      </c>
      <c r="D95" s="78">
        <v>443.3</v>
      </c>
    </row>
    <row r="96" spans="1:4" ht="20.25" x14ac:dyDescent="0.25">
      <c r="A96" s="86">
        <v>2</v>
      </c>
      <c r="B96" s="65" t="s">
        <v>50</v>
      </c>
      <c r="C96" s="66">
        <v>30</v>
      </c>
      <c r="D96" s="66">
        <v>57.9</v>
      </c>
    </row>
    <row r="97" spans="1:4" ht="20.25" x14ac:dyDescent="0.25">
      <c r="A97" s="86">
        <v>3</v>
      </c>
      <c r="B97" s="65" t="s">
        <v>87</v>
      </c>
      <c r="C97" s="66">
        <v>200</v>
      </c>
      <c r="D97" s="66">
        <v>1</v>
      </c>
    </row>
    <row r="98" spans="1:4" ht="20.25" x14ac:dyDescent="0.3">
      <c r="A98" s="87">
        <v>4</v>
      </c>
      <c r="B98" s="67" t="s">
        <v>51</v>
      </c>
      <c r="C98" s="66">
        <v>10</v>
      </c>
      <c r="D98" s="66">
        <v>74.900000000000006</v>
      </c>
    </row>
    <row r="99" spans="1:4" ht="21" x14ac:dyDescent="0.35">
      <c r="A99" s="90"/>
      <c r="B99" s="83" t="s">
        <v>18</v>
      </c>
      <c r="C99" s="68">
        <f t="shared" ref="C99:D99" si="7">SUM(C95:C98)</f>
        <v>490</v>
      </c>
      <c r="D99" s="68">
        <f t="shared" si="7"/>
        <v>577.1</v>
      </c>
    </row>
    <row r="102" spans="1:4" x14ac:dyDescent="0.25">
      <c r="A102" s="84" t="s">
        <v>25</v>
      </c>
      <c r="B102" s="69" t="s">
        <v>1</v>
      </c>
      <c r="C102" s="69" t="s">
        <v>2</v>
      </c>
      <c r="D102" s="69" t="s">
        <v>16</v>
      </c>
    </row>
    <row r="103" spans="1:4" ht="27" customHeight="1" x14ac:dyDescent="0.25">
      <c r="A103" s="85"/>
      <c r="B103" s="71"/>
      <c r="C103" s="71"/>
      <c r="D103" s="71"/>
    </row>
    <row r="104" spans="1:4" ht="26.25" x14ac:dyDescent="0.4">
      <c r="A104" s="72"/>
      <c r="B104" s="92" t="s">
        <v>141</v>
      </c>
      <c r="C104" s="93"/>
      <c r="D104" s="93"/>
    </row>
    <row r="105" spans="1:4" ht="20.25" x14ac:dyDescent="0.3">
      <c r="A105" s="86">
        <v>1</v>
      </c>
      <c r="B105" s="77" t="s">
        <v>23</v>
      </c>
      <c r="C105" s="78">
        <v>260</v>
      </c>
      <c r="D105" s="78">
        <v>443.3</v>
      </c>
    </row>
    <row r="106" spans="1:4" ht="20.25" x14ac:dyDescent="0.25">
      <c r="A106" s="86">
        <v>2</v>
      </c>
      <c r="B106" s="65" t="s">
        <v>50</v>
      </c>
      <c r="C106" s="66">
        <v>30</v>
      </c>
      <c r="D106" s="66">
        <v>57.9</v>
      </c>
    </row>
    <row r="107" spans="1:4" ht="20.25" x14ac:dyDescent="0.25">
      <c r="A107" s="86">
        <v>3</v>
      </c>
      <c r="B107" s="65" t="s">
        <v>87</v>
      </c>
      <c r="C107" s="66">
        <v>200</v>
      </c>
      <c r="D107" s="66">
        <v>1</v>
      </c>
    </row>
    <row r="108" spans="1:4" ht="20.25" x14ac:dyDescent="0.3">
      <c r="A108" s="87">
        <v>4</v>
      </c>
      <c r="B108" s="67" t="s">
        <v>51</v>
      </c>
      <c r="C108" s="66">
        <v>10</v>
      </c>
      <c r="D108" s="66">
        <v>74.900000000000006</v>
      </c>
    </row>
    <row r="109" spans="1:4" ht="21" x14ac:dyDescent="0.35">
      <c r="A109" s="90"/>
      <c r="B109" s="83" t="s">
        <v>18</v>
      </c>
      <c r="C109" s="68">
        <f t="shared" ref="C109:D109" si="8">SUM(C105:C108)</f>
        <v>500</v>
      </c>
      <c r="D109" s="68">
        <f t="shared" si="8"/>
        <v>577.1</v>
      </c>
    </row>
    <row r="114" spans="1:4" ht="25.5" x14ac:dyDescent="0.25">
      <c r="A114" s="94" t="s">
        <v>158</v>
      </c>
      <c r="B114" s="91"/>
      <c r="C114" s="91"/>
      <c r="D114" s="91"/>
    </row>
    <row r="115" spans="1:4" x14ac:dyDescent="0.25">
      <c r="A115" s="84" t="s">
        <v>25</v>
      </c>
      <c r="B115" s="69" t="s">
        <v>1</v>
      </c>
      <c r="C115" s="69" t="s">
        <v>2</v>
      </c>
      <c r="D115" s="69" t="s">
        <v>16</v>
      </c>
    </row>
    <row r="116" spans="1:4" ht="33" customHeight="1" x14ac:dyDescent="0.25">
      <c r="A116" s="85"/>
      <c r="B116" s="71"/>
      <c r="C116" s="71"/>
      <c r="D116" s="71"/>
    </row>
    <row r="117" spans="1:4" ht="26.25" x14ac:dyDescent="0.4">
      <c r="A117" s="72"/>
      <c r="B117" s="92" t="s">
        <v>142</v>
      </c>
      <c r="C117" s="93"/>
      <c r="D117" s="93"/>
    </row>
    <row r="118" spans="1:4" ht="20.25" x14ac:dyDescent="0.3">
      <c r="A118" s="86">
        <v>1</v>
      </c>
      <c r="B118" s="77" t="s">
        <v>129</v>
      </c>
      <c r="C118" s="78">
        <v>60</v>
      </c>
      <c r="D118" s="78">
        <v>45.7</v>
      </c>
    </row>
    <row r="119" spans="1:4" ht="20.25" x14ac:dyDescent="0.3">
      <c r="A119" s="86">
        <v>2</v>
      </c>
      <c r="B119" s="77" t="s">
        <v>62</v>
      </c>
      <c r="C119" s="78">
        <v>150</v>
      </c>
      <c r="D119" s="78">
        <v>213.5</v>
      </c>
    </row>
    <row r="120" spans="1:4" ht="20.25" x14ac:dyDescent="0.3">
      <c r="A120" s="86">
        <v>3</v>
      </c>
      <c r="B120" s="65" t="s">
        <v>113</v>
      </c>
      <c r="C120" s="68">
        <v>80</v>
      </c>
      <c r="D120" s="68">
        <v>106.3</v>
      </c>
    </row>
    <row r="121" spans="1:4" ht="20.25" x14ac:dyDescent="0.3">
      <c r="A121" s="87">
        <v>4</v>
      </c>
      <c r="B121" s="65" t="s">
        <v>50</v>
      </c>
      <c r="C121" s="66">
        <v>30</v>
      </c>
      <c r="D121" s="66">
        <v>57.9</v>
      </c>
    </row>
    <row r="122" spans="1:4" ht="20.25" x14ac:dyDescent="0.3">
      <c r="A122" s="88">
        <v>5</v>
      </c>
      <c r="B122" s="67" t="s">
        <v>53</v>
      </c>
      <c r="C122" s="68">
        <v>200</v>
      </c>
      <c r="D122" s="68">
        <v>26.4</v>
      </c>
    </row>
    <row r="123" spans="1:4" ht="20.25" x14ac:dyDescent="0.3">
      <c r="A123" s="89">
        <v>6</v>
      </c>
      <c r="B123" s="67" t="s">
        <v>105</v>
      </c>
      <c r="C123" s="68">
        <v>75</v>
      </c>
      <c r="D123" s="68">
        <v>25.7</v>
      </c>
    </row>
    <row r="124" spans="1:4" ht="21" x14ac:dyDescent="0.35">
      <c r="A124" s="90"/>
      <c r="B124" s="83" t="s">
        <v>18</v>
      </c>
      <c r="C124" s="68">
        <f t="shared" ref="C124:D124" si="9">SUM(C119:C123)</f>
        <v>535</v>
      </c>
      <c r="D124" s="68">
        <f t="shared" si="9"/>
        <v>429.79999999999995</v>
      </c>
    </row>
    <row r="125" spans="1:4" ht="21" x14ac:dyDescent="0.35">
      <c r="B125" s="80"/>
      <c r="C125" s="80"/>
      <c r="D125" s="80"/>
    </row>
    <row r="126" spans="1:4" ht="26.25" x14ac:dyDescent="0.4">
      <c r="A126" s="72"/>
      <c r="B126" s="92" t="s">
        <v>141</v>
      </c>
      <c r="C126" s="93"/>
      <c r="D126" s="93"/>
    </row>
    <row r="127" spans="1:4" ht="20.25" x14ac:dyDescent="0.3">
      <c r="A127" s="86">
        <v>1</v>
      </c>
      <c r="B127" s="77" t="s">
        <v>62</v>
      </c>
      <c r="C127" s="78">
        <v>150</v>
      </c>
      <c r="D127" s="78">
        <v>213.5</v>
      </c>
    </row>
    <row r="128" spans="1:4" ht="20.25" x14ac:dyDescent="0.3">
      <c r="A128" s="86">
        <v>2</v>
      </c>
      <c r="B128" s="65" t="s">
        <v>113</v>
      </c>
      <c r="C128" s="68">
        <v>80</v>
      </c>
      <c r="D128" s="68">
        <v>106.3</v>
      </c>
    </row>
    <row r="129" spans="1:4" ht="20.25" x14ac:dyDescent="0.3">
      <c r="A129" s="87">
        <v>3</v>
      </c>
      <c r="B129" s="65" t="s">
        <v>50</v>
      </c>
      <c r="C129" s="66">
        <v>30</v>
      </c>
      <c r="D129" s="66">
        <v>57.9</v>
      </c>
    </row>
    <row r="130" spans="1:4" ht="20.25" x14ac:dyDescent="0.3">
      <c r="A130" s="88">
        <v>4</v>
      </c>
      <c r="B130" s="67" t="s">
        <v>53</v>
      </c>
      <c r="C130" s="68">
        <v>200</v>
      </c>
      <c r="D130" s="68">
        <v>26.4</v>
      </c>
    </row>
    <row r="131" spans="1:4" ht="20.25" x14ac:dyDescent="0.3">
      <c r="A131" s="89">
        <v>5</v>
      </c>
      <c r="B131" s="67" t="s">
        <v>105</v>
      </c>
      <c r="C131" s="68">
        <v>75</v>
      </c>
      <c r="D131" s="68">
        <v>25.7</v>
      </c>
    </row>
    <row r="132" spans="1:4" ht="21" x14ac:dyDescent="0.35">
      <c r="A132" s="90"/>
      <c r="B132" s="83" t="s">
        <v>18</v>
      </c>
      <c r="C132" s="68">
        <f t="shared" ref="C132:D132" si="10">SUM(C127:C131)</f>
        <v>535</v>
      </c>
      <c r="D132" s="68">
        <f t="shared" si="10"/>
        <v>429.79999999999995</v>
      </c>
    </row>
    <row r="134" spans="1:4" ht="25.5" x14ac:dyDescent="0.25">
      <c r="A134" s="94" t="s">
        <v>159</v>
      </c>
      <c r="B134" s="91"/>
      <c r="C134" s="91"/>
      <c r="D134" s="91"/>
    </row>
    <row r="135" spans="1:4" x14ac:dyDescent="0.25">
      <c r="A135" s="84" t="s">
        <v>25</v>
      </c>
      <c r="B135" s="69" t="s">
        <v>1</v>
      </c>
      <c r="C135" s="69" t="s">
        <v>2</v>
      </c>
      <c r="D135" s="69" t="s">
        <v>16</v>
      </c>
    </row>
    <row r="136" spans="1:4" ht="42" customHeight="1" x14ac:dyDescent="0.25">
      <c r="A136" s="85"/>
      <c r="B136" s="71"/>
      <c r="C136" s="71"/>
      <c r="D136" s="71"/>
    </row>
    <row r="137" spans="1:4" ht="26.25" x14ac:dyDescent="0.4">
      <c r="A137" s="72"/>
      <c r="B137" s="92" t="s">
        <v>142</v>
      </c>
      <c r="C137" s="93"/>
      <c r="D137" s="93"/>
    </row>
    <row r="138" spans="1:4" ht="26.25" x14ac:dyDescent="0.4">
      <c r="A138" s="86">
        <v>1</v>
      </c>
      <c r="B138" s="95" t="s">
        <v>64</v>
      </c>
      <c r="C138" s="96">
        <v>200</v>
      </c>
      <c r="D138" s="96">
        <v>292.10000000000002</v>
      </c>
    </row>
    <row r="139" spans="1:4" ht="26.25" x14ac:dyDescent="0.4">
      <c r="A139" s="86">
        <v>2</v>
      </c>
      <c r="B139" s="95" t="s">
        <v>55</v>
      </c>
      <c r="C139" s="96">
        <v>30</v>
      </c>
      <c r="D139" s="96">
        <v>109.1</v>
      </c>
    </row>
    <row r="140" spans="1:4" ht="26.25" x14ac:dyDescent="0.25">
      <c r="A140" s="86">
        <v>3</v>
      </c>
      <c r="B140" s="64" t="s">
        <v>21</v>
      </c>
      <c r="C140" s="63">
        <v>200</v>
      </c>
      <c r="D140" s="63">
        <v>106.7</v>
      </c>
    </row>
    <row r="141" spans="1:4" ht="20.25" x14ac:dyDescent="0.3">
      <c r="A141" s="87">
        <v>4</v>
      </c>
      <c r="B141" s="65" t="s">
        <v>50</v>
      </c>
      <c r="C141" s="66">
        <v>30</v>
      </c>
      <c r="D141" s="66">
        <v>57.9</v>
      </c>
    </row>
    <row r="142" spans="1:4" ht="20.25" x14ac:dyDescent="0.3">
      <c r="A142" s="88">
        <v>5</v>
      </c>
      <c r="B142" s="67" t="s">
        <v>106</v>
      </c>
      <c r="C142" s="68">
        <v>200</v>
      </c>
      <c r="D142" s="68">
        <v>174.4</v>
      </c>
    </row>
    <row r="143" spans="1:4" ht="21" x14ac:dyDescent="0.35">
      <c r="A143" s="90"/>
      <c r="B143" s="83" t="s">
        <v>18</v>
      </c>
      <c r="C143" s="68">
        <v>660</v>
      </c>
      <c r="D143" s="68">
        <f t="shared" ref="D143" si="11">SUM(D138:D142)</f>
        <v>740.2</v>
      </c>
    </row>
    <row r="145" spans="1:4" ht="32.25" customHeight="1" x14ac:dyDescent="0.35">
      <c r="A145" s="72"/>
      <c r="B145" s="92" t="s">
        <v>141</v>
      </c>
      <c r="C145" s="73"/>
      <c r="D145" s="73"/>
    </row>
    <row r="146" spans="1:4" ht="20.25" x14ac:dyDescent="0.3">
      <c r="A146" s="86">
        <v>1</v>
      </c>
      <c r="B146" s="77" t="s">
        <v>64</v>
      </c>
      <c r="C146" s="78">
        <v>215</v>
      </c>
      <c r="D146" s="78">
        <f>292.1*215/200</f>
        <v>314.00750000000005</v>
      </c>
    </row>
    <row r="147" spans="1:4" ht="20.25" x14ac:dyDescent="0.3">
      <c r="A147" s="86">
        <v>2</v>
      </c>
      <c r="B147" s="77" t="s">
        <v>55</v>
      </c>
      <c r="C147" s="78">
        <v>30</v>
      </c>
      <c r="D147" s="78">
        <v>109.1</v>
      </c>
    </row>
    <row r="148" spans="1:4" ht="20.25" x14ac:dyDescent="0.25">
      <c r="A148" s="86">
        <v>3</v>
      </c>
      <c r="B148" s="67" t="s">
        <v>21</v>
      </c>
      <c r="C148" s="66">
        <v>200</v>
      </c>
      <c r="D148" s="66">
        <v>106.7</v>
      </c>
    </row>
    <row r="149" spans="1:4" ht="20.25" x14ac:dyDescent="0.3">
      <c r="A149" s="87">
        <v>4</v>
      </c>
      <c r="B149" s="65" t="s">
        <v>50</v>
      </c>
      <c r="C149" s="66">
        <v>30</v>
      </c>
      <c r="D149" s="66">
        <v>57.9</v>
      </c>
    </row>
    <row r="150" spans="1:4" ht="21" x14ac:dyDescent="0.35">
      <c r="A150" s="90"/>
      <c r="B150" s="83" t="s">
        <v>18</v>
      </c>
      <c r="C150" s="68">
        <v>475</v>
      </c>
      <c r="D150" s="68">
        <f t="shared" ref="D150" si="12">SUM(D145:D149)</f>
        <v>587.7075000000001</v>
      </c>
    </row>
    <row r="157" spans="1:4" ht="25.5" x14ac:dyDescent="0.25">
      <c r="A157" s="94" t="s">
        <v>160</v>
      </c>
      <c r="B157" s="91"/>
      <c r="C157" s="91"/>
      <c r="D157" s="91"/>
    </row>
    <row r="158" spans="1:4" x14ac:dyDescent="0.25">
      <c r="A158" s="84" t="s">
        <v>25</v>
      </c>
      <c r="B158" s="69" t="s">
        <v>1</v>
      </c>
      <c r="C158" s="69" t="s">
        <v>2</v>
      </c>
      <c r="D158" s="69" t="s">
        <v>16</v>
      </c>
    </row>
    <row r="159" spans="1:4" ht="39" customHeight="1" x14ac:dyDescent="0.25">
      <c r="A159" s="85"/>
      <c r="B159" s="71"/>
      <c r="C159" s="71"/>
      <c r="D159" s="71"/>
    </row>
    <row r="160" spans="1:4" ht="30.75" customHeight="1" x14ac:dyDescent="0.35">
      <c r="A160" s="72"/>
      <c r="B160" s="92" t="s">
        <v>142</v>
      </c>
      <c r="C160" s="73"/>
      <c r="D160" s="73"/>
    </row>
    <row r="161" spans="1:4" ht="20.25" x14ac:dyDescent="0.3">
      <c r="A161" s="86">
        <v>1</v>
      </c>
      <c r="B161" s="77" t="s">
        <v>72</v>
      </c>
      <c r="C161" s="68">
        <v>250</v>
      </c>
      <c r="D161" s="68">
        <f>318.8*250/200</f>
        <v>398.5</v>
      </c>
    </row>
    <row r="162" spans="1:4" ht="20.25" x14ac:dyDescent="0.25">
      <c r="A162" s="86">
        <v>2</v>
      </c>
      <c r="B162" s="65" t="s">
        <v>50</v>
      </c>
      <c r="C162" s="66">
        <v>30</v>
      </c>
      <c r="D162" s="66">
        <v>57.9</v>
      </c>
    </row>
    <row r="163" spans="1:4" ht="20.25" x14ac:dyDescent="0.3">
      <c r="A163" s="86">
        <v>3</v>
      </c>
      <c r="B163" s="67" t="s">
        <v>67</v>
      </c>
      <c r="C163" s="68">
        <v>30</v>
      </c>
      <c r="D163" s="68">
        <v>71.8</v>
      </c>
    </row>
    <row r="164" spans="1:4" ht="20.25" x14ac:dyDescent="0.3">
      <c r="A164" s="87">
        <v>4</v>
      </c>
      <c r="B164" s="67" t="s">
        <v>104</v>
      </c>
      <c r="C164" s="66">
        <v>75</v>
      </c>
      <c r="D164" s="66">
        <v>35.25</v>
      </c>
    </row>
    <row r="165" spans="1:4" ht="20.25" x14ac:dyDescent="0.3">
      <c r="A165" s="88">
        <v>5</v>
      </c>
      <c r="B165" s="67" t="s">
        <v>90</v>
      </c>
      <c r="C165" s="68">
        <v>200</v>
      </c>
      <c r="D165" s="68">
        <v>27.6</v>
      </c>
    </row>
    <row r="166" spans="1:4" ht="21" x14ac:dyDescent="0.35">
      <c r="A166" s="90"/>
      <c r="B166" s="83" t="s">
        <v>18</v>
      </c>
      <c r="C166" s="68">
        <v>585</v>
      </c>
      <c r="D166" s="68">
        <f t="shared" ref="D166" si="13">SUM(D161:D165)</f>
        <v>591.04999999999995</v>
      </c>
    </row>
    <row r="169" spans="1:4" ht="26.25" x14ac:dyDescent="0.4">
      <c r="A169" s="72"/>
      <c r="B169" s="92" t="s">
        <v>141</v>
      </c>
      <c r="C169" s="93"/>
      <c r="D169" s="93"/>
    </row>
    <row r="170" spans="1:4" ht="20.25" x14ac:dyDescent="0.3">
      <c r="A170" s="86">
        <v>1</v>
      </c>
      <c r="B170" s="77" t="s">
        <v>72</v>
      </c>
      <c r="C170" s="68">
        <v>250</v>
      </c>
      <c r="D170" s="68">
        <f>318.8*250/200</f>
        <v>398.5</v>
      </c>
    </row>
    <row r="171" spans="1:4" ht="20.25" x14ac:dyDescent="0.25">
      <c r="A171" s="86">
        <v>2</v>
      </c>
      <c r="B171" s="65" t="s">
        <v>50</v>
      </c>
      <c r="C171" s="66">
        <v>30</v>
      </c>
      <c r="D171" s="66">
        <v>57.9</v>
      </c>
    </row>
    <row r="172" spans="1:4" ht="20.25" x14ac:dyDescent="0.3">
      <c r="A172" s="86">
        <v>3</v>
      </c>
      <c r="B172" s="67" t="s">
        <v>90</v>
      </c>
      <c r="C172" s="68">
        <v>200</v>
      </c>
      <c r="D172" s="68">
        <v>27.6</v>
      </c>
    </row>
    <row r="173" spans="1:4" ht="21" x14ac:dyDescent="0.35">
      <c r="A173" s="90"/>
      <c r="B173" s="83" t="s">
        <v>18</v>
      </c>
      <c r="C173" s="68">
        <v>480</v>
      </c>
      <c r="D173" s="68">
        <f t="shared" ref="D173" si="14">SUM(D170:D172)</f>
        <v>484</v>
      </c>
    </row>
    <row r="174" spans="1:4" ht="21" x14ac:dyDescent="0.35">
      <c r="B174" s="80"/>
      <c r="C174" s="80"/>
      <c r="D174" s="80"/>
    </row>
    <row r="175" spans="1:4" ht="21" x14ac:dyDescent="0.35">
      <c r="B175" s="80"/>
      <c r="C175" s="80"/>
      <c r="D175" s="80"/>
    </row>
    <row r="177" spans="1:4" ht="25.5" x14ac:dyDescent="0.25">
      <c r="A177" s="94" t="s">
        <v>161</v>
      </c>
      <c r="B177" s="91"/>
      <c r="C177" s="91"/>
      <c r="D177" s="91"/>
    </row>
    <row r="178" spans="1:4" x14ac:dyDescent="0.25">
      <c r="A178" s="84" t="s">
        <v>25</v>
      </c>
      <c r="B178" s="69" t="s">
        <v>1</v>
      </c>
      <c r="C178" s="69" t="s">
        <v>2</v>
      </c>
      <c r="D178" s="69" t="s">
        <v>16</v>
      </c>
    </row>
    <row r="179" spans="1:4" ht="33" customHeight="1" x14ac:dyDescent="0.25">
      <c r="A179" s="85"/>
      <c r="B179" s="71"/>
      <c r="C179" s="71"/>
      <c r="D179" s="71"/>
    </row>
    <row r="180" spans="1:4" ht="26.25" x14ac:dyDescent="0.4">
      <c r="A180" s="72"/>
      <c r="B180" s="92" t="s">
        <v>142</v>
      </c>
      <c r="C180" s="93"/>
      <c r="D180" s="93"/>
    </row>
    <row r="181" spans="1:4" ht="20.25" x14ac:dyDescent="0.3">
      <c r="A181" s="86">
        <v>1</v>
      </c>
      <c r="B181" s="77" t="s">
        <v>69</v>
      </c>
      <c r="C181" s="78">
        <v>250</v>
      </c>
      <c r="D181" s="78">
        <f>281.2*250/200</f>
        <v>351.5</v>
      </c>
    </row>
    <row r="182" spans="1:4" ht="20.25" x14ac:dyDescent="0.25">
      <c r="A182" s="86">
        <v>2</v>
      </c>
      <c r="B182" s="65" t="s">
        <v>50</v>
      </c>
      <c r="C182" s="66">
        <v>30</v>
      </c>
      <c r="D182" s="66">
        <v>57.9</v>
      </c>
    </row>
    <row r="183" spans="1:4" ht="20.25" x14ac:dyDescent="0.25">
      <c r="A183" s="86">
        <v>3</v>
      </c>
      <c r="B183" s="67" t="s">
        <v>51</v>
      </c>
      <c r="C183" s="66">
        <v>20</v>
      </c>
      <c r="D183" s="66">
        <f>74.9*2</f>
        <v>149.80000000000001</v>
      </c>
    </row>
    <row r="184" spans="1:4" ht="20.25" x14ac:dyDescent="0.3">
      <c r="A184" s="87">
        <v>4</v>
      </c>
      <c r="B184" s="67" t="s">
        <v>65</v>
      </c>
      <c r="C184" s="68">
        <v>200</v>
      </c>
      <c r="D184" s="68">
        <v>90.8</v>
      </c>
    </row>
    <row r="185" spans="1:4" ht="20.25" x14ac:dyDescent="0.3">
      <c r="A185" s="88">
        <v>5</v>
      </c>
      <c r="B185" s="67" t="s">
        <v>105</v>
      </c>
      <c r="C185" s="68">
        <v>75</v>
      </c>
      <c r="D185" s="68">
        <v>25.7</v>
      </c>
    </row>
    <row r="186" spans="1:4" ht="21" x14ac:dyDescent="0.35">
      <c r="A186" s="90"/>
      <c r="B186" s="83" t="s">
        <v>18</v>
      </c>
      <c r="C186" s="68">
        <v>500</v>
      </c>
      <c r="D186" s="68">
        <f t="shared" ref="D186" si="15">SUM(D181:D184)</f>
        <v>650</v>
      </c>
    </row>
    <row r="189" spans="1:4" ht="26.25" x14ac:dyDescent="0.4">
      <c r="A189" s="72"/>
      <c r="B189" s="92" t="s">
        <v>141</v>
      </c>
      <c r="C189" s="93"/>
      <c r="D189" s="93"/>
    </row>
    <row r="190" spans="1:4" ht="20.25" x14ac:dyDescent="0.3">
      <c r="A190" s="86">
        <v>1</v>
      </c>
      <c r="B190" s="77" t="s">
        <v>69</v>
      </c>
      <c r="C190" s="78">
        <v>250</v>
      </c>
      <c r="D190" s="78">
        <f>281.2*250/200</f>
        <v>351.5</v>
      </c>
    </row>
    <row r="191" spans="1:4" ht="20.25" x14ac:dyDescent="0.25">
      <c r="A191" s="86">
        <v>2</v>
      </c>
      <c r="B191" s="65" t="s">
        <v>50</v>
      </c>
      <c r="C191" s="66">
        <v>30</v>
      </c>
      <c r="D191" s="66">
        <v>57.9</v>
      </c>
    </row>
    <row r="192" spans="1:4" ht="20.25" x14ac:dyDescent="0.25">
      <c r="A192" s="86">
        <v>3</v>
      </c>
      <c r="B192" s="67" t="s">
        <v>51</v>
      </c>
      <c r="C192" s="66">
        <v>20</v>
      </c>
      <c r="D192" s="66">
        <f>74.9*2</f>
        <v>149.80000000000001</v>
      </c>
    </row>
    <row r="193" spans="1:4" ht="20.25" x14ac:dyDescent="0.3">
      <c r="A193" s="87">
        <v>4</v>
      </c>
      <c r="B193" s="67" t="s">
        <v>65</v>
      </c>
      <c r="C193" s="68">
        <v>200</v>
      </c>
      <c r="D193" s="68">
        <v>90.8</v>
      </c>
    </row>
    <row r="194" spans="1:4" ht="21" x14ac:dyDescent="0.35">
      <c r="A194" s="90"/>
      <c r="B194" s="83" t="s">
        <v>18</v>
      </c>
      <c r="C194" s="68">
        <f t="shared" ref="C194:D194" si="16">SUM(C190:C193)</f>
        <v>500</v>
      </c>
      <c r="D194" s="68">
        <f t="shared" si="16"/>
        <v>650</v>
      </c>
    </row>
    <row r="200" spans="1:4" ht="39.75" customHeight="1" x14ac:dyDescent="0.25">
      <c r="A200" s="94" t="s">
        <v>161</v>
      </c>
      <c r="B200" s="91"/>
      <c r="C200" s="91"/>
      <c r="D200" s="91"/>
    </row>
    <row r="201" spans="1:4" x14ac:dyDescent="0.25">
      <c r="A201" s="84" t="s">
        <v>25</v>
      </c>
      <c r="B201" s="69" t="s">
        <v>1</v>
      </c>
      <c r="C201" s="69" t="s">
        <v>2</v>
      </c>
      <c r="D201" s="69" t="s">
        <v>16</v>
      </c>
    </row>
    <row r="202" spans="1:4" ht="36" customHeight="1" x14ac:dyDescent="0.25">
      <c r="A202" s="85"/>
      <c r="B202" s="71"/>
      <c r="C202" s="71"/>
      <c r="D202" s="71"/>
    </row>
    <row r="203" spans="1:4" ht="32.25" customHeight="1" x14ac:dyDescent="0.35">
      <c r="A203" s="72"/>
      <c r="B203" s="92" t="s">
        <v>142</v>
      </c>
      <c r="C203" s="73"/>
      <c r="D203" s="73"/>
    </row>
    <row r="204" spans="1:4" ht="20.25" x14ac:dyDescent="0.3">
      <c r="A204" s="86">
        <v>1</v>
      </c>
      <c r="B204" s="77" t="s">
        <v>71</v>
      </c>
      <c r="C204" s="78">
        <v>150</v>
      </c>
      <c r="D204" s="78">
        <v>208</v>
      </c>
    </row>
    <row r="205" spans="1:4" ht="20.25" x14ac:dyDescent="0.3">
      <c r="A205" s="86">
        <v>2</v>
      </c>
      <c r="B205" s="65" t="s">
        <v>101</v>
      </c>
      <c r="C205" s="79">
        <v>75</v>
      </c>
      <c r="D205" s="68">
        <v>209</v>
      </c>
    </row>
    <row r="206" spans="1:4" ht="20.25" x14ac:dyDescent="0.25">
      <c r="A206" s="86">
        <v>3</v>
      </c>
      <c r="B206" s="65" t="s">
        <v>50</v>
      </c>
      <c r="C206" s="66">
        <v>30</v>
      </c>
      <c r="D206" s="66">
        <v>57.9</v>
      </c>
    </row>
    <row r="207" spans="1:4" ht="20.25" x14ac:dyDescent="0.3">
      <c r="A207" s="87">
        <v>4</v>
      </c>
      <c r="B207" s="65" t="s">
        <v>92</v>
      </c>
      <c r="C207" s="66">
        <v>200</v>
      </c>
      <c r="D207" s="66">
        <v>52.9</v>
      </c>
    </row>
    <row r="208" spans="1:4" ht="21" x14ac:dyDescent="0.35">
      <c r="A208" s="90"/>
      <c r="B208" s="83" t="s">
        <v>18</v>
      </c>
      <c r="C208" s="68">
        <v>455</v>
      </c>
      <c r="D208" s="68">
        <f t="shared" ref="D208" si="17">SUM(D204:D207)</f>
        <v>527.79999999999995</v>
      </c>
    </row>
    <row r="209" spans="1:4" ht="21" x14ac:dyDescent="0.35">
      <c r="A209" s="80"/>
      <c r="B209" s="80"/>
      <c r="C209" s="80"/>
      <c r="D209" s="80"/>
    </row>
    <row r="210" spans="1:4" ht="21" x14ac:dyDescent="0.35">
      <c r="A210" s="80"/>
      <c r="B210" s="80"/>
      <c r="C210" s="80"/>
      <c r="D210" s="80"/>
    </row>
    <row r="211" spans="1:4" ht="26.25" x14ac:dyDescent="0.4">
      <c r="A211" s="72"/>
      <c r="B211" s="92" t="s">
        <v>147</v>
      </c>
      <c r="C211" s="93"/>
      <c r="D211" s="93"/>
    </row>
    <row r="212" spans="1:4" ht="20.25" x14ac:dyDescent="0.3">
      <c r="A212" s="86">
        <v>1</v>
      </c>
      <c r="B212" s="77" t="s">
        <v>71</v>
      </c>
      <c r="C212" s="78">
        <v>200</v>
      </c>
      <c r="D212" s="21">
        <v>277.33300000000003</v>
      </c>
    </row>
    <row r="213" spans="1:4" ht="20.25" x14ac:dyDescent="0.3">
      <c r="A213" s="86">
        <v>2</v>
      </c>
      <c r="B213" s="65" t="s">
        <v>101</v>
      </c>
      <c r="C213" s="79">
        <v>75</v>
      </c>
      <c r="D213" s="9">
        <v>209</v>
      </c>
    </row>
    <row r="214" spans="1:4" ht="20.25" x14ac:dyDescent="0.25">
      <c r="A214" s="86">
        <v>3</v>
      </c>
      <c r="B214" s="65" t="s">
        <v>50</v>
      </c>
      <c r="C214" s="66">
        <v>30</v>
      </c>
      <c r="D214" s="15">
        <v>57.9</v>
      </c>
    </row>
    <row r="215" spans="1:4" ht="20.25" x14ac:dyDescent="0.3">
      <c r="A215" s="87">
        <v>4</v>
      </c>
      <c r="B215" s="65" t="s">
        <v>92</v>
      </c>
      <c r="C215" s="66">
        <v>200</v>
      </c>
      <c r="D215" s="15">
        <v>52.9</v>
      </c>
    </row>
    <row r="216" spans="1:4" ht="21" x14ac:dyDescent="0.35">
      <c r="A216" s="90"/>
      <c r="B216" s="83" t="s">
        <v>18</v>
      </c>
      <c r="C216" s="68">
        <v>505</v>
      </c>
      <c r="D216" s="9">
        <f t="shared" ref="D216" si="18">SUM(D212:D215)</f>
        <v>597.13300000000004</v>
      </c>
    </row>
  </sheetData>
  <mergeCells count="76">
    <mergeCell ref="B211:D211"/>
    <mergeCell ref="B203:D203"/>
    <mergeCell ref="B180:D180"/>
    <mergeCell ref="B189:D189"/>
    <mergeCell ref="A200:D200"/>
    <mergeCell ref="A201:A202"/>
    <mergeCell ref="B201:B202"/>
    <mergeCell ref="C201:C202"/>
    <mergeCell ref="D201:D202"/>
    <mergeCell ref="B160:D160"/>
    <mergeCell ref="B169:D169"/>
    <mergeCell ref="A177:D177"/>
    <mergeCell ref="A178:A179"/>
    <mergeCell ref="B178:B179"/>
    <mergeCell ref="C178:C179"/>
    <mergeCell ref="D178:D179"/>
    <mergeCell ref="B137:D137"/>
    <mergeCell ref="B145:D145"/>
    <mergeCell ref="A157:D157"/>
    <mergeCell ref="A158:A159"/>
    <mergeCell ref="B158:B159"/>
    <mergeCell ref="C158:C159"/>
    <mergeCell ref="D158:D159"/>
    <mergeCell ref="B126:D126"/>
    <mergeCell ref="A134:D134"/>
    <mergeCell ref="A135:A136"/>
    <mergeCell ref="B135:B136"/>
    <mergeCell ref="C135:C136"/>
    <mergeCell ref="D135:D136"/>
    <mergeCell ref="A114:D114"/>
    <mergeCell ref="A115:A116"/>
    <mergeCell ref="B115:B116"/>
    <mergeCell ref="C115:C116"/>
    <mergeCell ref="D115:D116"/>
    <mergeCell ref="B117:D117"/>
    <mergeCell ref="B94:D94"/>
    <mergeCell ref="A102:A103"/>
    <mergeCell ref="B102:B103"/>
    <mergeCell ref="C102:C103"/>
    <mergeCell ref="D102:D103"/>
    <mergeCell ref="B104:D104"/>
    <mergeCell ref="B81:D81"/>
    <mergeCell ref="A91:D91"/>
    <mergeCell ref="A92:A93"/>
    <mergeCell ref="B92:B93"/>
    <mergeCell ref="C92:C93"/>
    <mergeCell ref="D92:D93"/>
    <mergeCell ref="A69:D69"/>
    <mergeCell ref="A70:A71"/>
    <mergeCell ref="B70:B71"/>
    <mergeCell ref="C70:C71"/>
    <mergeCell ref="D70:D71"/>
    <mergeCell ref="B72:D72"/>
    <mergeCell ref="A46:A47"/>
    <mergeCell ref="B46:B47"/>
    <mergeCell ref="C46:C47"/>
    <mergeCell ref="D46:D47"/>
    <mergeCell ref="B48:D48"/>
    <mergeCell ref="B57:D57"/>
    <mergeCell ref="A22:D22"/>
    <mergeCell ref="D23:D24"/>
    <mergeCell ref="B25:D25"/>
    <mergeCell ref="B34:D34"/>
    <mergeCell ref="C44:D44"/>
    <mergeCell ref="A45:D45"/>
    <mergeCell ref="C19:D21"/>
    <mergeCell ref="A23:A24"/>
    <mergeCell ref="B23:B24"/>
    <mergeCell ref="C23:C24"/>
    <mergeCell ref="B12:D12"/>
    <mergeCell ref="B4:D4"/>
    <mergeCell ref="A1:D1"/>
    <mergeCell ref="A2:A3"/>
    <mergeCell ref="B2:B3"/>
    <mergeCell ref="C2:C3"/>
    <mergeCell ref="D2:D3"/>
  </mergeCells>
  <pageMargins left="0.7" right="0.7" top="1.3055555555555556" bottom="0.75" header="0.3" footer="0.3"/>
  <pageSetup paperSize="9" orientation="landscape" horizontalDpi="4294967292" verticalDpi="0" r:id="rId1"/>
  <headerFooter>
    <oddHeader>&amp;R&amp;18УТВЕРЖДАЮ
Директор школы:
________ Луговик А.М.</oddHeader>
    <oddFooter>&amp;R&amp;18Повар школы: ________ Рауп Т.В.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Накопительная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2023-12-03T13:07:42Z</dcterms:modified>
</cp:coreProperties>
</file>